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https://meradiagroup-my.sharepoint.com/personal/atauson_meradia_com/Documents/Desktop/"/>
    </mc:Choice>
  </mc:AlternateContent>
  <xr:revisionPtr revIDLastSave="0" documentId="8_{B798B981-403C-471E-AB7B-70920D1E0163}" xr6:coauthVersionLast="45" xr6:coauthVersionMax="45" xr10:uidLastSave="{00000000-0000-0000-0000-000000000000}"/>
  <bookViews>
    <workbookView xWindow="12795" yWindow="-15795" windowWidth="15795" windowHeight="14835" xr2:uid="{00000000-000D-0000-FFFF-FFFF00000000}"/>
  </bookViews>
  <sheets>
    <sheet name="Market Data" sheetId="1" r:id="rId1"/>
    <sheet name="Forward Valuation" sheetId="2" r:id="rId2"/>
    <sheet name="Portfolio Exposure" sheetId="3" r:id="rId3"/>
    <sheet name="P&amp;L Decomposition" sheetId="4" r:id="rId4"/>
    <sheet name="Contribution" sheetId="5" r:id="rId5"/>
  </sheets>
  <definedNames>
    <definedName name="comments" localSheetId="0">'Market Data'!$E$45</definedName>
    <definedName name="FwdFX">'Market Data'!$A$3:$C$22</definedName>
    <definedName name="FXrates">'Market Data'!$H$3:$K$24</definedName>
    <definedName name="HedgeVal">'Forward Valuation'!$B$4:$Y$6</definedName>
    <definedName name="HedgingFwd">'Forward Valuation'!$B$4:$Y$7</definedName>
    <definedName name="LocalCash">'Market Data'!$A$26:$C$30</definedName>
    <definedName name="ProxyFwd">'Forward Valuation'!$A$4:$Y$7</definedName>
    <definedName name="SpotFX">'Market Data'!$H$3:$K$10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G7" i="4"/>
  <c r="E7" i="4" l="1"/>
  <c r="H7" i="3"/>
  <c r="J7" i="3"/>
  <c r="C15" i="3"/>
  <c r="G7" i="3"/>
  <c r="M7" i="2"/>
  <c r="L7" i="2"/>
  <c r="M6" i="2"/>
  <c r="L6" i="2"/>
  <c r="M5" i="2"/>
  <c r="L5" i="2"/>
  <c r="M4" i="2"/>
  <c r="L4" i="2"/>
  <c r="C7" i="2"/>
  <c r="C5" i="2"/>
  <c r="E6" i="2"/>
  <c r="E5" i="2"/>
  <c r="E4" i="2"/>
  <c r="C9" i="1"/>
  <c r="H22" i="1"/>
  <c r="C22" i="1" s="1"/>
  <c r="G22" i="1"/>
  <c r="B22" i="1" s="1"/>
  <c r="H21" i="1"/>
  <c r="C21" i="1" s="1"/>
  <c r="G21" i="1"/>
  <c r="B21" i="1" s="1"/>
  <c r="H20" i="1"/>
  <c r="C20" i="1" s="1"/>
  <c r="G20" i="1"/>
  <c r="B20" i="1" s="1"/>
  <c r="H19" i="1"/>
  <c r="C19" i="1" s="1"/>
  <c r="G19" i="1"/>
  <c r="B19" i="1" s="1"/>
  <c r="H18" i="1"/>
  <c r="C18" i="1" s="1"/>
  <c r="G18" i="1"/>
  <c r="B18" i="1" s="1"/>
  <c r="H17" i="1"/>
  <c r="C17" i="1" s="1"/>
  <c r="G17" i="1"/>
  <c r="B17" i="1" s="1"/>
  <c r="H16" i="1"/>
  <c r="C16" i="1" s="1"/>
  <c r="G16" i="1"/>
  <c r="B16" i="1" s="1"/>
  <c r="H15" i="1"/>
  <c r="C15" i="1" s="1"/>
  <c r="G5" i="4" s="1"/>
  <c r="G15" i="1"/>
  <c r="B15" i="1" s="1"/>
  <c r="G5" i="3" s="1"/>
  <c r="H14" i="1"/>
  <c r="C14" i="1" s="1"/>
  <c r="G14" i="1"/>
  <c r="B14" i="1" s="1"/>
  <c r="H13" i="1"/>
  <c r="C13" i="1" s="1"/>
  <c r="G13" i="1"/>
  <c r="B13" i="1" s="1"/>
  <c r="H12" i="1"/>
  <c r="C12" i="1" s="1"/>
  <c r="G12" i="1"/>
  <c r="B12" i="1" s="1"/>
  <c r="H11" i="1"/>
  <c r="C11" i="1" s="1"/>
  <c r="G4" i="4" s="1"/>
  <c r="G11" i="1"/>
  <c r="B11" i="1" s="1"/>
  <c r="H10" i="1"/>
  <c r="C10" i="1" s="1"/>
  <c r="H9" i="1"/>
  <c r="G10" i="1"/>
  <c r="B10" i="1" s="1"/>
  <c r="G9" i="1"/>
  <c r="B9" i="1" s="1"/>
  <c r="H8" i="1"/>
  <c r="C8" i="1" s="1"/>
  <c r="G8" i="1"/>
  <c r="B8" i="1" s="1"/>
  <c r="H7" i="1"/>
  <c r="C7" i="1" s="1"/>
  <c r="G7" i="1"/>
  <c r="B7" i="1" s="1"/>
  <c r="G3" i="4" l="1"/>
  <c r="H3" i="3"/>
  <c r="G6" i="4"/>
  <c r="H6" i="3"/>
  <c r="J3" i="3"/>
  <c r="G3" i="3"/>
  <c r="G4" i="3"/>
  <c r="D4" i="4"/>
  <c r="E5" i="4"/>
  <c r="J6" i="3"/>
  <c r="G6" i="3"/>
  <c r="W6" i="2"/>
  <c r="Q6" i="2"/>
  <c r="S6" i="2" s="1"/>
  <c r="H15" i="3" s="1"/>
  <c r="V7" i="2"/>
  <c r="P7" i="2"/>
  <c r="W7" i="2"/>
  <c r="Q7" i="2"/>
  <c r="V4" i="2"/>
  <c r="P4" i="2"/>
  <c r="W4" i="2"/>
  <c r="Q4" i="2"/>
  <c r="V5" i="2"/>
  <c r="P5" i="2"/>
  <c r="W5" i="2"/>
  <c r="Q5" i="2"/>
  <c r="S5" i="2" s="1"/>
  <c r="H16" i="3" s="1"/>
  <c r="J5" i="3"/>
  <c r="V6" i="2"/>
  <c r="P6" i="2"/>
  <c r="H5" i="3"/>
  <c r="D3" i="4"/>
  <c r="H4" i="3"/>
  <c r="D5" i="4"/>
  <c r="D6" i="4"/>
  <c r="D7" i="4"/>
  <c r="K7" i="3"/>
  <c r="X4" i="2" l="1"/>
  <c r="M3" i="3"/>
  <c r="E3" i="4"/>
  <c r="M4" i="3"/>
  <c r="E4" i="4"/>
  <c r="S7" i="2"/>
  <c r="X6" i="2"/>
  <c r="X5" i="2"/>
  <c r="X7" i="2"/>
  <c r="M6" i="3"/>
  <c r="N6" i="3" s="1"/>
  <c r="E6" i="4"/>
  <c r="S4" i="2"/>
  <c r="H13" i="3" s="1"/>
  <c r="M5" i="3"/>
  <c r="N5" i="3" s="1"/>
  <c r="K4" i="2"/>
  <c r="O4" i="2" s="1"/>
  <c r="J4" i="2"/>
  <c r="N4" i="2" s="1"/>
  <c r="K5" i="2"/>
  <c r="O5" i="2" s="1"/>
  <c r="J5" i="2"/>
  <c r="N5" i="2" s="1"/>
  <c r="K6" i="2"/>
  <c r="O6" i="2" s="1"/>
  <c r="J6" i="2"/>
  <c r="N6" i="2" s="1"/>
  <c r="C14" i="3"/>
  <c r="E7" i="2"/>
  <c r="K7" i="2"/>
  <c r="O7" i="2" s="1"/>
  <c r="R7" i="2" s="1"/>
  <c r="J7" i="2"/>
  <c r="N7" i="2" s="1"/>
  <c r="R5" i="2" l="1"/>
  <c r="G14" i="3" s="1"/>
  <c r="R4" i="2"/>
  <c r="H14" i="3"/>
  <c r="J4" i="3"/>
  <c r="N4" i="3" s="1"/>
  <c r="R6" i="2"/>
  <c r="N3" i="3"/>
  <c r="M9" i="3"/>
  <c r="H7" i="4"/>
  <c r="C4" i="4"/>
  <c r="C6" i="4"/>
  <c r="C5" i="4"/>
  <c r="G9" i="3"/>
  <c r="U5" i="2"/>
  <c r="C7" i="4"/>
  <c r="U4" i="2"/>
  <c r="F7" i="4"/>
  <c r="I5" i="4"/>
  <c r="U6" i="2"/>
  <c r="I6" i="4"/>
  <c r="D14" i="4" l="1"/>
  <c r="G15" i="3"/>
  <c r="D15" i="3"/>
  <c r="T5" i="2"/>
  <c r="N9" i="3"/>
  <c r="T6" i="2"/>
  <c r="G16" i="3"/>
  <c r="D16" i="3"/>
  <c r="D14" i="3"/>
  <c r="G13" i="3"/>
  <c r="D13" i="3"/>
  <c r="Y6" i="2"/>
  <c r="F5" i="4"/>
  <c r="H4" i="4"/>
  <c r="E9" i="4"/>
  <c r="T4" i="2"/>
  <c r="D9" i="4"/>
  <c r="H6" i="4"/>
  <c r="F6" i="4"/>
  <c r="Y5" i="2"/>
  <c r="H14" i="4" s="1"/>
  <c r="C3" i="4"/>
  <c r="C9" i="4" s="1"/>
  <c r="H9" i="3"/>
  <c r="G9" i="4"/>
  <c r="I3" i="4"/>
  <c r="I4" i="4"/>
  <c r="H16" i="4" l="1"/>
  <c r="K5" i="3"/>
  <c r="J15" i="3"/>
  <c r="J16" i="3"/>
  <c r="K6" i="3"/>
  <c r="J13" i="3"/>
  <c r="G13" i="4" s="1"/>
  <c r="K3" i="3"/>
  <c r="H13" i="4"/>
  <c r="H15" i="4"/>
  <c r="D15" i="4"/>
  <c r="J14" i="3"/>
  <c r="G14" i="4" s="1"/>
  <c r="K4" i="3"/>
  <c r="C13" i="4"/>
  <c r="C15" i="4"/>
  <c r="G15" i="4"/>
  <c r="I15" i="4" s="1"/>
  <c r="H3" i="4"/>
  <c r="Y4" i="2"/>
  <c r="D13" i="4" s="1"/>
  <c r="F4" i="4"/>
  <c r="U7" i="2"/>
  <c r="G16" i="4" s="1"/>
  <c r="Y7" i="2"/>
  <c r="D16" i="4" s="1"/>
  <c r="F3" i="4"/>
  <c r="H5" i="4"/>
  <c r="C14" i="4"/>
  <c r="G18" i="3"/>
  <c r="G21" i="3" s="1"/>
  <c r="I9" i="4"/>
  <c r="T7" i="2"/>
  <c r="C16" i="4"/>
  <c r="H9" i="4" l="1"/>
  <c r="F9" i="4"/>
  <c r="G18" i="4"/>
  <c r="H18" i="3"/>
  <c r="H21" i="3" s="1"/>
  <c r="E15" i="4"/>
  <c r="J18" i="3"/>
  <c r="I14" i="4"/>
  <c r="I16" i="4"/>
  <c r="J15" i="4"/>
  <c r="C18" i="4"/>
  <c r="J14" i="4"/>
  <c r="E14" i="4"/>
  <c r="E16" i="4"/>
  <c r="C10" i="4" l="1"/>
  <c r="H13" i="5"/>
  <c r="C21" i="4"/>
  <c r="F8" i="5"/>
  <c r="E7" i="5"/>
  <c r="D6" i="5"/>
  <c r="C5" i="5"/>
  <c r="I3" i="5"/>
  <c r="G8" i="5"/>
  <c r="C4" i="5"/>
  <c r="E8" i="5"/>
  <c r="D7" i="5"/>
  <c r="C6" i="5"/>
  <c r="I4" i="5"/>
  <c r="H3" i="5"/>
  <c r="D8" i="5"/>
  <c r="C7" i="5"/>
  <c r="I5" i="5"/>
  <c r="H4" i="5"/>
  <c r="G3" i="5"/>
  <c r="F7" i="5"/>
  <c r="C8" i="5"/>
  <c r="I6" i="5"/>
  <c r="H5" i="5"/>
  <c r="G4" i="5"/>
  <c r="F3" i="5"/>
  <c r="C18" i="5"/>
  <c r="I7" i="5"/>
  <c r="H6" i="5"/>
  <c r="G5" i="5"/>
  <c r="F4" i="5"/>
  <c r="E3" i="5"/>
  <c r="C3" i="5"/>
  <c r="I8" i="5"/>
  <c r="H7" i="5"/>
  <c r="G6" i="5"/>
  <c r="F5" i="5"/>
  <c r="E4" i="5"/>
  <c r="D3" i="5"/>
  <c r="E6" i="5"/>
  <c r="H8" i="5"/>
  <c r="G7" i="5"/>
  <c r="F6" i="5"/>
  <c r="E5" i="5"/>
  <c r="D4" i="5"/>
  <c r="D5" i="5"/>
  <c r="H14" i="5"/>
  <c r="H16" i="5"/>
  <c r="H15" i="5"/>
  <c r="G18" i="5"/>
  <c r="D13" i="5"/>
  <c r="E13" i="4"/>
  <c r="E13" i="5" s="1"/>
  <c r="D15" i="5"/>
  <c r="I13" i="4"/>
  <c r="I13" i="5" s="1"/>
  <c r="G13" i="5"/>
  <c r="J15" i="5"/>
  <c r="G14" i="5"/>
  <c r="D18" i="4"/>
  <c r="D18" i="5" s="1"/>
  <c r="I16" i="5"/>
  <c r="C13" i="5"/>
  <c r="C16" i="5"/>
  <c r="C14" i="5"/>
  <c r="I15" i="5"/>
  <c r="E16" i="5"/>
  <c r="I14" i="5"/>
  <c r="G16" i="5"/>
  <c r="E14" i="5"/>
  <c r="D14" i="5"/>
  <c r="C15" i="5"/>
  <c r="J14" i="5"/>
  <c r="K15" i="4"/>
  <c r="K15" i="5" s="1"/>
  <c r="E15" i="5"/>
  <c r="G15" i="5"/>
  <c r="D16" i="5"/>
  <c r="K14" i="4"/>
  <c r="J16" i="4"/>
  <c r="J16" i="5" s="1"/>
  <c r="H18" i="4"/>
  <c r="H18" i="5" s="1"/>
  <c r="J13" i="4"/>
  <c r="J13" i="5" s="1"/>
  <c r="K16" i="4"/>
  <c r="K16" i="5" s="1"/>
  <c r="E18" i="4" l="1"/>
  <c r="E18" i="5" s="1"/>
  <c r="D9" i="5"/>
  <c r="E9" i="5"/>
  <c r="H9" i="5"/>
  <c r="K13" i="4"/>
  <c r="K13" i="5" s="1"/>
  <c r="I18" i="4"/>
  <c r="I18" i="5" s="1"/>
  <c r="I9" i="5"/>
  <c r="L15" i="4"/>
  <c r="L15" i="5" s="1"/>
  <c r="F9" i="5"/>
  <c r="G9" i="5"/>
  <c r="C9" i="5"/>
  <c r="C21" i="5" s="1"/>
  <c r="L14" i="4"/>
  <c r="L14" i="5" s="1"/>
  <c r="K14" i="5"/>
  <c r="J18" i="4"/>
  <c r="J18" i="5" s="1"/>
  <c r="L16" i="4"/>
  <c r="L16" i="5" s="1"/>
  <c r="L13" i="4" l="1"/>
  <c r="L13" i="5" s="1"/>
  <c r="K18" i="4"/>
  <c r="K18" i="5" s="1"/>
  <c r="C19" i="5" s="1"/>
  <c r="C10" i="5"/>
  <c r="C22" i="5" l="1"/>
  <c r="L18" i="4"/>
  <c r="L18" i="5" s="1"/>
  <c r="C19" i="4"/>
  <c r="C22" i="4" s="1"/>
</calcChain>
</file>

<file path=xl/sharedStrings.xml><?xml version="1.0" encoding="utf-8"?>
<sst xmlns="http://schemas.openxmlformats.org/spreadsheetml/2006/main" count="205" uniqueCount="110">
  <si>
    <t>Begin</t>
  </si>
  <si>
    <t>End</t>
  </si>
  <si>
    <t>EUR</t>
  </si>
  <si>
    <t>JPY</t>
  </si>
  <si>
    <t>AUD</t>
  </si>
  <si>
    <t>USD</t>
  </si>
  <si>
    <t>Currency</t>
  </si>
  <si>
    <t>Key</t>
  </si>
  <si>
    <t>KRW</t>
  </si>
  <si>
    <t>Assets</t>
  </si>
  <si>
    <t>Total</t>
  </si>
  <si>
    <t>Local</t>
  </si>
  <si>
    <t>Base (USD)</t>
  </si>
  <si>
    <t>Hedges</t>
  </si>
  <si>
    <t>Hedging Forwards</t>
  </si>
  <si>
    <t>Begin Front Rate</t>
  </si>
  <si>
    <t>Begin Back Rate</t>
  </si>
  <si>
    <t>End Front Rate</t>
  </si>
  <si>
    <t>End Back Rate</t>
  </si>
  <si>
    <t>Begin Interp Rate</t>
  </si>
  <si>
    <t>End Interp Rate</t>
  </si>
  <si>
    <t>Begin Days</t>
  </si>
  <si>
    <t>End Days</t>
  </si>
  <si>
    <t>Local Notional</t>
  </si>
  <si>
    <t>Begin P&amp;L</t>
  </si>
  <si>
    <t>End P&amp;L</t>
  </si>
  <si>
    <t>Roll P&amp;L</t>
  </si>
  <si>
    <t>Percent Hedged</t>
  </si>
  <si>
    <t>Hedged with</t>
  </si>
  <si>
    <t>Hedging</t>
  </si>
  <si>
    <t>P&amp;L Base</t>
  </si>
  <si>
    <t>Total P&amp;L</t>
  </si>
  <si>
    <t>Proxy</t>
  </si>
  <si>
    <t>USD|7</t>
  </si>
  <si>
    <t>USD|30</t>
  </si>
  <si>
    <t>EUR|7</t>
  </si>
  <si>
    <t>EUR|30</t>
  </si>
  <si>
    <t>JPY|7</t>
  </si>
  <si>
    <t>JPY|30</t>
  </si>
  <si>
    <t>AUD|7</t>
  </si>
  <si>
    <t>AUD|30</t>
  </si>
  <si>
    <t>KRW|7</t>
  </si>
  <si>
    <t>KRW|30</t>
  </si>
  <si>
    <t>Local Market P&amp;L - naive</t>
  </si>
  <si>
    <t>Local cash P&amp;L</t>
  </si>
  <si>
    <t>Local Market P&amp;L - KS</t>
  </si>
  <si>
    <t>Native End Base</t>
  </si>
  <si>
    <t>Native Total P&amp;L</t>
  </si>
  <si>
    <t>FX</t>
  </si>
  <si>
    <t>EUR|0</t>
  </si>
  <si>
    <t>JPY|0</t>
  </si>
  <si>
    <t>AUD|0</t>
  </si>
  <si>
    <t>KRW|0</t>
  </si>
  <si>
    <t>USD|0</t>
  </si>
  <si>
    <t>EUR|60</t>
  </si>
  <si>
    <t>USD|60</t>
  </si>
  <si>
    <t>JPY|60</t>
  </si>
  <si>
    <t>AUD|60</t>
  </si>
  <si>
    <t>KRW|60</t>
  </si>
  <si>
    <t>LIBOR 1M</t>
  </si>
  <si>
    <t>Quotes</t>
  </si>
  <si>
    <t>Forward inverted</t>
  </si>
  <si>
    <t>Contract Rate</t>
  </si>
  <si>
    <t>Begin Front Days</t>
  </si>
  <si>
    <t>Begin Back Days</t>
  </si>
  <si>
    <t>End Front Days</t>
  </si>
  <si>
    <t>End Back Days</t>
  </si>
  <si>
    <t>Begin Front Key</t>
  </si>
  <si>
    <t>Begin Back Key</t>
  </si>
  <si>
    <t>End Front Key</t>
  </si>
  <si>
    <t>End Back Key</t>
  </si>
  <si>
    <t>Native Notional</t>
  </si>
  <si>
    <t>Wt</t>
  </si>
  <si>
    <t>Rolled Front Rate</t>
  </si>
  <si>
    <t>Rolled Back Rate</t>
  </si>
  <si>
    <t>Rolled Interp Rate</t>
  </si>
  <si>
    <t>This page houses raw market quotes for spot &amp; forward FX, and LIBOR.</t>
  </si>
  <si>
    <t>For both beginning of period and end of period.</t>
  </si>
  <si>
    <t>Caveat: Interp and rolled rates are not present valueed back to the valuation date. Normally, one should do this, but in the interest of simplicity we left it out as forward valuation calculations aren't the point of the paper.</t>
  </si>
  <si>
    <t>It normalizes these into  the price of a foreign unit in base currency.</t>
  </si>
  <si>
    <t>This page produces begin/end valuations of the actual forwards used in the example to hedge, interpolating the forward curves produced in the Market Data tab.</t>
  </si>
  <si>
    <t>It also calculates the total P&amp;L and pure roll P&amp;L for these.</t>
  </si>
  <si>
    <t>This page sets up the basic portfolio input scenario, including hedging and the full-period index returns.</t>
  </si>
  <si>
    <t>This page demonstrates the core calculations of the paper: the decomposition of portfolio P&amp;L into the re-engineered Karnosky-Singer effects.</t>
  </si>
  <si>
    <t>FX P&amp;L - naive</t>
  </si>
  <si>
    <t>FX P&amp;L - KS</t>
  </si>
  <si>
    <t>Cross Product P&amp;L</t>
  </si>
  <si>
    <t>FX Change P&amp;L</t>
  </si>
  <si>
    <t>Native Roll P&amp;L</t>
  </si>
  <si>
    <t>Native FX Change P&amp;L</t>
  </si>
  <si>
    <t>Proxy Roll P&amp;L</t>
  </si>
  <si>
    <t>Proxy FX Change P&amp;L</t>
  </si>
  <si>
    <t>Total Proxy P&amp;L</t>
  </si>
  <si>
    <t>Proxy Roll Contriution</t>
  </si>
  <si>
    <t>This page is identical to the P&amp;L Decomposition, but cast in Contribution to Total Return (CTR) space.</t>
  </si>
  <si>
    <t>Total CTR</t>
  </si>
  <si>
    <t>Local Market CTR - naive</t>
  </si>
  <si>
    <t>Local cash CTR</t>
  </si>
  <si>
    <t>Local Market CTR - KS</t>
  </si>
  <si>
    <t>FX CTR - naive</t>
  </si>
  <si>
    <t>FX CTR - KS</t>
  </si>
  <si>
    <t>Cross Product CTR</t>
  </si>
  <si>
    <t>Roll CTR</t>
  </si>
  <si>
    <t>FX Change CTR</t>
  </si>
  <si>
    <t>Native Total CTR</t>
  </si>
  <si>
    <t>Native Roll CTR</t>
  </si>
  <si>
    <t>Native FX Change CTR</t>
  </si>
  <si>
    <t>Proxy FX Change CTR</t>
  </si>
  <si>
    <t>Total Proxy CTR</t>
  </si>
  <si>
    <t>Contribution to Total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</si>
</sst>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0000"/>
    <numFmt numFmtId="165" formatCode="0.0000"/>
    <numFmt numFmtId="166" formatCode="0.00000"/>
    <numFmt numFmtId="167" formatCode="0.000000"/>
    <numFmt numFmtId="168" formatCode="_(* #,##0.000000_);_(* \(#,##0.000000\);_(* &quot;-&quot;??_);_(@_)"/>
    <numFmt numFmtId="169" formatCode="_(* #,##0.0000000_);_(* \(#,##0.0000000\);_(* &quot;-&quot;??_);_(@_)"/>
    <numFmt numFmtId="170" formatCode="0.0000%"/>
    <numFmt numFmtId="171" formatCode="0.00000%"/>
    <numFmt numFmtId="172" formatCode="_-* #,##0.000000_-;\-* #,##0.000000_-;_-* &quot;-&quot;??_-;_-@_-"/>
    <numFmt numFmtId="173" formatCode="0.000%"/>
    <numFmt numFmtId="174" formatCode="_(* #,##0.0_);_(* \(#,##0.0\);_(* &quot;-&quot;??_);_(@_)"/>
  </numFmts>
  <fonts count="9" x14ac:knownFonts="1">
    <font>
      <sz val="10"/>
      <name val="Arial"/>
    </font>
    <font>
      <sz val="10"/>
      <name val="Arial"/>
      <family val="2"/>
    </font>
    <font>
      <b/>
      <sz val="12"/>
      <name val="Arial"/>
      <family val="2"/>
    </font>
    <font>
      <sz val="12"/>
      <name val="Arial"/>
      <family val="2"/>
    </font>
    <font>
      <b/>
      <sz val="16"/>
      <name val="Arial"/>
      <family val="2"/>
    </font>
    <font>
      <b/>
      <sz val="14"/>
      <name val="Arial"/>
      <family val="2"/>
    </font>
    <font>
      <sz val="14"/>
      <name val="Arial"/>
      <family val="2"/>
    </font>
    <font>
      <sz val="16"/>
      <name val="Arial"/>
      <family val="2"/>
    </font>
    <font>
      <sz val="8"/>
      <name val="Arial"/>
      <family val="2"/>
    </font>
  </fonts>
  <fills count="7">
    <fill>
      <patternFill patternType="none"/>
    </fill>
    <fill>
      <patternFill patternType="gray125"/>
    </fill>
    <fill>
      <patternFill patternType="solid">
        <fgColor indexed="47"/>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2" fillId="0" borderId="0" xfId="0" applyFont="1" applyAlignment="1">
      <alignment wrapText="1"/>
    </xf>
    <xf numFmtId="0" fontId="3" fillId="0" borderId="0" xfId="0" applyFont="1"/>
    <xf numFmtId="164" fontId="2" fillId="0" borderId="0" xfId="0" applyNumberFormat="1" applyFont="1" applyAlignment="1">
      <alignment wrapText="1"/>
    </xf>
    <xf numFmtId="164" fontId="3" fillId="0" borderId="0" xfId="0" applyNumberFormat="1" applyFont="1"/>
    <xf numFmtId="0" fontId="2" fillId="0" borderId="0" xfId="0" applyFont="1"/>
    <xf numFmtId="0" fontId="4" fillId="0" borderId="0" xfId="0" applyFont="1"/>
    <xf numFmtId="0" fontId="3" fillId="0" borderId="0" xfId="0" applyFont="1" applyBorder="1"/>
    <xf numFmtId="4" fontId="3" fillId="0" borderId="0" xfId="0" applyNumberFormat="1" applyFont="1" applyBorder="1"/>
    <xf numFmtId="166" fontId="3" fillId="0" borderId="0" xfId="0" applyNumberFormat="1" applyFont="1" applyBorder="1"/>
    <xf numFmtId="165" fontId="3" fillId="0" borderId="0" xfId="0" applyNumberFormat="1" applyFont="1" applyBorder="1" applyAlignment="1">
      <alignment horizontal="right"/>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3" fillId="0" borderId="0" xfId="0" applyFont="1" applyAlignment="1">
      <alignment wrapText="1"/>
    </xf>
    <xf numFmtId="43" fontId="3" fillId="2" borderId="0" xfId="1" applyFont="1" applyFill="1"/>
    <xf numFmtId="43" fontId="3" fillId="0" borderId="0" xfId="1" applyFont="1"/>
    <xf numFmtId="169" fontId="3" fillId="0" borderId="0" xfId="1" applyNumberFormat="1" applyFont="1"/>
    <xf numFmtId="43" fontId="3" fillId="0" borderId="0" xfId="0" applyNumberFormat="1" applyFont="1"/>
    <xf numFmtId="168" fontId="3" fillId="0" borderId="0" xfId="0" applyNumberFormat="1" applyFont="1"/>
    <xf numFmtId="0" fontId="3" fillId="0" borderId="0" xfId="0" applyFont="1" applyFill="1"/>
    <xf numFmtId="43" fontId="3" fillId="0" borderId="0" xfId="0" applyNumberFormat="1" applyFont="1" applyFill="1"/>
    <xf numFmtId="10" fontId="3" fillId="0" borderId="0" xfId="2" applyNumberFormat="1" applyFont="1"/>
    <xf numFmtId="43" fontId="3" fillId="0" borderId="0" xfId="1" applyFont="1" applyFill="1"/>
    <xf numFmtId="0" fontId="2" fillId="0" borderId="0" xfId="0" applyFont="1" applyAlignment="1">
      <alignment horizontal="right"/>
    </xf>
    <xf numFmtId="0" fontId="2" fillId="0" borderId="0" xfId="0" applyFont="1" applyAlignment="1">
      <alignment horizontal="left"/>
    </xf>
    <xf numFmtId="171" fontId="3" fillId="0" borderId="0" xfId="2" applyNumberFormat="1" applyFont="1"/>
    <xf numFmtId="164" fontId="2" fillId="0" borderId="0" xfId="0" applyNumberFormat="1" applyFont="1"/>
    <xf numFmtId="0" fontId="2" fillId="0" borderId="0" xfId="0" applyFont="1" applyAlignment="1">
      <alignment horizontal="left" wrapText="1"/>
    </xf>
    <xf numFmtId="0" fontId="2" fillId="0" borderId="0" xfId="0" applyFont="1" applyAlignment="1">
      <alignment horizontal="right" wrapText="1"/>
    </xf>
    <xf numFmtId="0" fontId="6" fillId="0" borderId="0" xfId="0" applyFont="1" applyAlignment="1">
      <alignment wrapText="1"/>
    </xf>
    <xf numFmtId="0" fontId="5" fillId="0" borderId="0" xfId="0" applyFont="1" applyAlignment="1">
      <alignment wrapText="1"/>
    </xf>
    <xf numFmtId="0" fontId="6" fillId="0" borderId="0" xfId="0" applyFont="1" applyAlignment="1">
      <alignment horizontal="center"/>
    </xf>
    <xf numFmtId="0" fontId="2" fillId="0" borderId="0" xfId="0" applyFont="1" applyBorder="1" applyAlignment="1">
      <alignment wrapText="1"/>
    </xf>
    <xf numFmtId="164" fontId="3" fillId="0" borderId="0" xfId="0" applyNumberFormat="1" applyFont="1" applyBorder="1"/>
    <xf numFmtId="0" fontId="2" fillId="0" borderId="0" xfId="0" applyFont="1" applyFill="1" applyBorder="1" applyAlignment="1">
      <alignment wrapText="1"/>
    </xf>
    <xf numFmtId="166" fontId="3" fillId="0" borderId="0" xfId="0" applyNumberFormat="1" applyFont="1" applyFill="1" applyBorder="1" applyAlignment="1">
      <alignment horizontal="right"/>
    </xf>
    <xf numFmtId="166" fontId="3" fillId="0" borderId="0" xfId="0" applyNumberFormat="1" applyFont="1" applyFill="1" applyBorder="1"/>
    <xf numFmtId="0" fontId="3" fillId="0" borderId="0" xfId="0" applyFont="1" applyFill="1" applyBorder="1"/>
    <xf numFmtId="172" fontId="3" fillId="0" borderId="0" xfId="1" applyNumberFormat="1" applyFont="1"/>
    <xf numFmtId="167" fontId="3" fillId="0" borderId="0" xfId="0" applyNumberFormat="1" applyFont="1" applyBorder="1"/>
    <xf numFmtId="167" fontId="3" fillId="0" borderId="0" xfId="0" applyNumberFormat="1" applyFont="1"/>
    <xf numFmtId="167" fontId="3" fillId="0" borderId="0" xfId="1" applyNumberFormat="1" applyFont="1"/>
    <xf numFmtId="167" fontId="3" fillId="3" borderId="0" xfId="0" applyNumberFormat="1" applyFont="1" applyFill="1"/>
    <xf numFmtId="0" fontId="3" fillId="3" borderId="0" xfId="0" applyFont="1" applyFill="1"/>
    <xf numFmtId="167" fontId="3" fillId="3" borderId="0" xfId="1" applyNumberFormat="1" applyFont="1" applyFill="1"/>
    <xf numFmtId="170" fontId="3" fillId="3" borderId="0" xfId="0" applyNumberFormat="1" applyFont="1" applyFill="1"/>
    <xf numFmtId="170" fontId="3" fillId="3" borderId="2" xfId="0" applyNumberFormat="1" applyFont="1" applyFill="1" applyBorder="1"/>
    <xf numFmtId="170" fontId="3" fillId="3" borderId="1" xfId="0" applyNumberFormat="1" applyFont="1" applyFill="1" applyBorder="1"/>
    <xf numFmtId="43" fontId="3" fillId="0" borderId="0" xfId="1" applyNumberFormat="1" applyFont="1"/>
    <xf numFmtId="170" fontId="3" fillId="3" borderId="0" xfId="2" applyNumberFormat="1" applyFont="1" applyFill="1"/>
    <xf numFmtId="43" fontId="3" fillId="4" borderId="0" xfId="1" applyFont="1" applyFill="1"/>
    <xf numFmtId="43" fontId="3" fillId="5" borderId="0" xfId="0" applyNumberFormat="1" applyFont="1" applyFill="1"/>
    <xf numFmtId="43" fontId="3" fillId="5" borderId="0" xfId="1" applyFont="1" applyFill="1"/>
    <xf numFmtId="10" fontId="3" fillId="0" borderId="0" xfId="2" applyNumberFormat="1" applyFont="1" applyFill="1"/>
    <xf numFmtId="10" fontId="5" fillId="0" borderId="0" xfId="2" applyNumberFormat="1" applyFont="1" applyFill="1"/>
    <xf numFmtId="10" fontId="6" fillId="0" borderId="0" xfId="2" applyNumberFormat="1" applyFont="1" applyFill="1"/>
    <xf numFmtId="10" fontId="6" fillId="0" borderId="0" xfId="2" applyNumberFormat="1" applyFont="1"/>
    <xf numFmtId="10" fontId="2" fillId="0" borderId="0" xfId="2" applyNumberFormat="1" applyFont="1" applyFill="1" applyAlignment="1">
      <alignment horizontal="right" wrapText="1"/>
    </xf>
    <xf numFmtId="10" fontId="3" fillId="6" borderId="0" xfId="2" applyNumberFormat="1" applyFont="1" applyFill="1"/>
    <xf numFmtId="10" fontId="3" fillId="0" borderId="0" xfId="0" applyNumberFormat="1" applyFont="1"/>
    <xf numFmtId="10" fontId="6" fillId="0" borderId="0" xfId="0" applyNumberFormat="1" applyFont="1"/>
    <xf numFmtId="166" fontId="3" fillId="0" borderId="0" xfId="0" applyNumberFormat="1" applyFont="1"/>
    <xf numFmtId="173" fontId="3" fillId="6" borderId="0" xfId="2" applyNumberFormat="1" applyFont="1" applyFill="1"/>
    <xf numFmtId="173" fontId="3" fillId="0" borderId="0" xfId="2" applyNumberFormat="1" applyFont="1" applyFill="1"/>
    <xf numFmtId="174" fontId="3" fillId="0" borderId="0" xfId="1" applyNumberFormat="1" applyFont="1" applyFill="1"/>
    <xf numFmtId="0" fontId="6" fillId="0" borderId="0" xfId="0" applyFont="1" applyFill="1"/>
    <xf numFmtId="0" fontId="6" fillId="0" borderId="0" xfId="0" applyFont="1" applyFill="1" applyBorder="1" applyAlignment="1">
      <alignment wrapText="1"/>
    </xf>
    <xf numFmtId="166" fontId="6" fillId="0" borderId="0" xfId="0" applyNumberFormat="1" applyFont="1" applyFill="1" applyBorder="1" applyAlignment="1">
      <alignment horizontal="left"/>
    </xf>
    <xf numFmtId="0" fontId="2" fillId="0" borderId="0" xfId="0" applyFont="1" applyFill="1" applyAlignment="1">
      <alignment horizontal="right"/>
    </xf>
    <xf numFmtId="10" fontId="3" fillId="5" borderId="0" xfId="2" applyNumberFormat="1" applyFont="1" applyFill="1"/>
    <xf numFmtId="173" fontId="3" fillId="5" borderId="0" xfId="2" applyNumberFormat="1" applyFont="1" applyFill="1"/>
    <xf numFmtId="43" fontId="3" fillId="4" borderId="0" xfId="0" applyNumberFormat="1" applyFont="1" applyFill="1"/>
    <xf numFmtId="10" fontId="2" fillId="0" borderId="0" xfId="2" applyNumberFormat="1" applyFont="1" applyFill="1" applyAlignment="1">
      <alignment wrapText="1"/>
    </xf>
    <xf numFmtId="10" fontId="2" fillId="0" borderId="0" xfId="2" applyNumberFormat="1" applyFont="1" applyAlignment="1">
      <alignment wrapText="1"/>
    </xf>
    <xf numFmtId="0" fontId="6" fillId="0" borderId="0" xfId="0" applyFont="1" applyAlignment="1"/>
    <xf numFmtId="0" fontId="3" fillId="0" borderId="0" xfId="0" applyFont="1" applyAlignment="1">
      <alignment horizontal="center"/>
    </xf>
    <xf numFmtId="164" fontId="3" fillId="0" borderId="0" xfId="0" applyNumberFormat="1" applyFont="1" applyAlignment="1">
      <alignment horizontal="center"/>
    </xf>
    <xf numFmtId="0" fontId="6"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5"/>
  <sheetViews>
    <sheetView tabSelected="1" workbookViewId="0">
      <selection activeCell="J1" sqref="J1:J3"/>
    </sheetView>
  </sheetViews>
  <sheetFormatPr defaultColWidth="9.109375" defaultRowHeight="15" x14ac:dyDescent="0.25"/>
  <cols>
    <col min="1" max="1" width="21.88671875" style="2" customWidth="1"/>
    <col min="2" max="3" width="11" style="2" customWidth="1"/>
    <col min="4" max="4" width="7.109375" style="2" customWidth="1"/>
    <col min="5" max="5" width="18.33203125" style="2" customWidth="1"/>
    <col min="6" max="7" width="18.33203125" style="4" customWidth="1"/>
    <col min="8" max="8" width="18.33203125" style="2" customWidth="1"/>
    <col min="9" max="9" width="5.5546875" style="2" customWidth="1"/>
    <col min="10" max="10" width="88.88671875" style="21" customWidth="1"/>
    <col min="11" max="11" width="18.33203125" style="21" customWidth="1"/>
    <col min="12" max="17" width="18.33203125" style="2" customWidth="1"/>
    <col min="18" max="16384" width="9.109375" style="2"/>
  </cols>
  <sheetData>
    <row r="1" spans="1:15" ht="21" x14ac:dyDescent="0.4">
      <c r="A1" s="6" t="s">
        <v>48</v>
      </c>
      <c r="B1" s="6"/>
      <c r="C1" s="6"/>
      <c r="D1" s="6"/>
      <c r="E1" s="77" t="s">
        <v>60</v>
      </c>
      <c r="F1" s="77"/>
      <c r="G1" s="78" t="s">
        <v>61</v>
      </c>
      <c r="H1" s="78"/>
      <c r="J1" s="67" t="s">
        <v>76</v>
      </c>
    </row>
    <row r="2" spans="1:15" s="1" customFormat="1" ht="17.399999999999999" x14ac:dyDescent="0.3">
      <c r="A2" s="1" t="s">
        <v>7</v>
      </c>
      <c r="B2" s="1" t="s">
        <v>0</v>
      </c>
      <c r="C2" s="1" t="s">
        <v>1</v>
      </c>
      <c r="E2" s="15" t="s">
        <v>0</v>
      </c>
      <c r="F2" s="15" t="s">
        <v>1</v>
      </c>
      <c r="G2" s="15" t="s">
        <v>0</v>
      </c>
      <c r="H2" s="15" t="s">
        <v>1</v>
      </c>
      <c r="I2" s="34"/>
      <c r="J2" s="68" t="s">
        <v>77</v>
      </c>
      <c r="K2" s="36"/>
      <c r="L2" s="34"/>
      <c r="M2" s="34"/>
      <c r="N2" s="3"/>
      <c r="O2" s="3"/>
    </row>
    <row r="3" spans="1:15" ht="17.399999999999999" x14ac:dyDescent="0.3">
      <c r="A3" s="2" t="s">
        <v>53</v>
      </c>
      <c r="B3" s="2">
        <v>1</v>
      </c>
      <c r="C3" s="2">
        <v>1</v>
      </c>
      <c r="F3" s="2"/>
      <c r="G3" s="7"/>
      <c r="H3" s="9"/>
      <c r="I3" s="10"/>
      <c r="J3" s="69" t="s">
        <v>79</v>
      </c>
      <c r="K3" s="37"/>
      <c r="L3" s="7"/>
      <c r="M3" s="7"/>
      <c r="N3" s="4"/>
      <c r="O3" s="4"/>
    </row>
    <row r="4" spans="1:15" x14ac:dyDescent="0.25">
      <c r="A4" s="2" t="s">
        <v>33</v>
      </c>
      <c r="B4" s="2">
        <v>1</v>
      </c>
      <c r="C4" s="2">
        <v>1</v>
      </c>
      <c r="F4" s="2"/>
      <c r="G4" s="7"/>
      <c r="H4" s="9"/>
      <c r="I4" s="10"/>
      <c r="J4" s="37"/>
      <c r="K4" s="37"/>
      <c r="L4" s="7"/>
      <c r="M4" s="7"/>
      <c r="N4" s="4"/>
      <c r="O4" s="4"/>
    </row>
    <row r="5" spans="1:15" x14ac:dyDescent="0.25">
      <c r="A5" s="2" t="s">
        <v>34</v>
      </c>
      <c r="B5" s="2">
        <v>1</v>
      </c>
      <c r="C5" s="2">
        <v>1</v>
      </c>
      <c r="F5" s="2"/>
      <c r="G5" s="7"/>
      <c r="H5" s="9"/>
      <c r="I5" s="10"/>
      <c r="J5" s="37"/>
      <c r="K5" s="37"/>
      <c r="L5" s="7"/>
      <c r="M5" s="7"/>
      <c r="N5" s="4"/>
      <c r="O5" s="4"/>
    </row>
    <row r="6" spans="1:15" x14ac:dyDescent="0.25">
      <c r="A6" s="2" t="s">
        <v>55</v>
      </c>
      <c r="B6" s="2">
        <v>1</v>
      </c>
      <c r="C6" s="2">
        <v>1</v>
      </c>
      <c r="F6" s="2"/>
      <c r="G6" s="7"/>
      <c r="H6" s="40"/>
      <c r="I6" s="40"/>
      <c r="J6" s="40"/>
      <c r="K6" s="40"/>
      <c r="L6" s="7"/>
      <c r="M6" s="7"/>
      <c r="N6" s="4"/>
      <c r="O6" s="4"/>
    </row>
    <row r="7" spans="1:15" x14ac:dyDescent="0.25">
      <c r="A7" s="2" t="s">
        <v>49</v>
      </c>
      <c r="B7" s="42">
        <f>1/G7</f>
        <v>1.0953000000000002</v>
      </c>
      <c r="C7" s="42">
        <f t="shared" ref="C7:C22" si="0">1/H7</f>
        <v>1.1123500000000002</v>
      </c>
      <c r="D7" s="42"/>
      <c r="E7" s="46">
        <v>0.91299187437231799</v>
      </c>
      <c r="F7" s="46">
        <v>0.89899761765631303</v>
      </c>
      <c r="G7" s="41">
        <f>E7</f>
        <v>0.91299187437231799</v>
      </c>
      <c r="H7" s="43">
        <f>F7</f>
        <v>0.89899761765631303</v>
      </c>
      <c r="I7" s="40"/>
      <c r="J7" s="40"/>
      <c r="K7" s="40"/>
      <c r="L7" s="7"/>
      <c r="M7" s="7"/>
      <c r="N7" s="4"/>
      <c r="O7" s="4"/>
    </row>
    <row r="8" spans="1:15" x14ac:dyDescent="0.25">
      <c r="A8" s="2" t="s">
        <v>35</v>
      </c>
      <c r="B8" s="42">
        <f t="shared" ref="B8:B22" si="1">1/G8</f>
        <v>1.0954400000000004</v>
      </c>
      <c r="C8" s="42">
        <f t="shared" si="0"/>
        <v>1.1124900000000006</v>
      </c>
      <c r="D8" s="42"/>
      <c r="E8" s="46">
        <v>-1.1668266852804532E-4</v>
      </c>
      <c r="F8" s="46">
        <v>-1.1313330139806066E-4</v>
      </c>
      <c r="G8" s="41">
        <f>E7+E8</f>
        <v>0.91287519170378995</v>
      </c>
      <c r="H8" s="41">
        <f>F7+F8</f>
        <v>0.89888448435491497</v>
      </c>
      <c r="I8" s="40"/>
      <c r="J8" s="40"/>
      <c r="K8" s="40"/>
      <c r="L8" s="7"/>
      <c r="M8" s="7"/>
      <c r="N8" s="4"/>
      <c r="O8" s="4"/>
    </row>
    <row r="9" spans="1:15" x14ac:dyDescent="0.25">
      <c r="A9" s="2" t="s">
        <v>36</v>
      </c>
      <c r="B9" s="42">
        <f t="shared" si="1"/>
        <v>1.0959600000000005</v>
      </c>
      <c r="C9" s="42">
        <f t="shared" si="0"/>
        <v>1.1130300000000004</v>
      </c>
      <c r="D9" s="42"/>
      <c r="E9" s="46">
        <v>-5.4981444312396377E-4</v>
      </c>
      <c r="F9" s="46">
        <v>-5.4923800796602418E-4</v>
      </c>
      <c r="G9" s="41">
        <f>E7+E9</f>
        <v>0.91244205992919403</v>
      </c>
      <c r="H9" s="41">
        <f>F7+F9</f>
        <v>0.89844837964834701</v>
      </c>
      <c r="I9" s="40"/>
      <c r="J9" s="40"/>
      <c r="K9" s="40"/>
      <c r="L9" s="7"/>
      <c r="M9" s="7"/>
      <c r="N9" s="4"/>
      <c r="O9" s="4"/>
    </row>
    <row r="10" spans="1:15" x14ac:dyDescent="0.25">
      <c r="A10" s="2" t="s">
        <v>54</v>
      </c>
      <c r="B10" s="42">
        <f t="shared" si="1"/>
        <v>1.0967100000000001</v>
      </c>
      <c r="C10" s="42">
        <f t="shared" si="0"/>
        <v>1.1137800000000009</v>
      </c>
      <c r="D10" s="42"/>
      <c r="E10" s="46">
        <v>-1.173800314454021E-3</v>
      </c>
      <c r="F10" s="46">
        <v>-1.1542374555559842E-3</v>
      </c>
      <c r="G10" s="41">
        <f>E7+E10</f>
        <v>0.91181807405786397</v>
      </c>
      <c r="H10" s="41">
        <f>F7+F10</f>
        <v>0.89784338020075705</v>
      </c>
      <c r="I10" s="10"/>
      <c r="J10" s="37"/>
      <c r="K10" s="37"/>
      <c r="L10" s="7"/>
      <c r="M10" s="7"/>
      <c r="N10" s="4"/>
      <c r="O10" s="4"/>
    </row>
    <row r="11" spans="1:15" x14ac:dyDescent="0.25">
      <c r="A11" s="2" t="s">
        <v>50</v>
      </c>
      <c r="B11" s="42">
        <f t="shared" si="1"/>
        <v>9.3514751952120442E-3</v>
      </c>
      <c r="C11" s="42">
        <f t="shared" si="0"/>
        <v>9.2820346219891405E-3</v>
      </c>
      <c r="D11" s="42"/>
      <c r="E11" s="46">
        <v>106.935</v>
      </c>
      <c r="F11" s="46">
        <v>107.735</v>
      </c>
      <c r="G11" s="41">
        <f>E11</f>
        <v>106.935</v>
      </c>
      <c r="H11" s="43">
        <f>F11</f>
        <v>107.735</v>
      </c>
      <c r="I11" s="8"/>
      <c r="J11" s="38"/>
      <c r="K11" s="38"/>
      <c r="L11" s="7"/>
      <c r="M11" s="7"/>
    </row>
    <row r="12" spans="1:15" x14ac:dyDescent="0.25">
      <c r="A12" s="2" t="s">
        <v>37</v>
      </c>
      <c r="B12" s="42">
        <f t="shared" si="1"/>
        <v>9.3523191647256719E-3</v>
      </c>
      <c r="C12" s="42">
        <f t="shared" si="0"/>
        <v>9.282646371088641E-3</v>
      </c>
      <c r="D12" s="42"/>
      <c r="E12" s="46">
        <v>-9.650000000007708E-3</v>
      </c>
      <c r="F12" s="46">
        <v>-7.099999999994111E-3</v>
      </c>
      <c r="G12" s="41">
        <f>E11+E12</f>
        <v>106.92534999999999</v>
      </c>
      <c r="H12" s="41">
        <f>F11+F12</f>
        <v>107.72790000000001</v>
      </c>
      <c r="I12" s="8"/>
      <c r="J12" s="38"/>
      <c r="K12" s="38"/>
      <c r="L12" s="7"/>
      <c r="M12" s="7"/>
    </row>
    <row r="13" spans="1:15" x14ac:dyDescent="0.25">
      <c r="A13" s="2" t="s">
        <v>38</v>
      </c>
      <c r="B13" s="42">
        <f t="shared" si="1"/>
        <v>9.3553245829864056E-3</v>
      </c>
      <c r="C13" s="42">
        <f t="shared" si="0"/>
        <v>9.2860900407148624E-3</v>
      </c>
      <c r="D13" s="42"/>
      <c r="E13" s="46">
        <v>-4.399999999999693E-2</v>
      </c>
      <c r="F13" s="46">
        <v>-4.7049999999998704E-2</v>
      </c>
      <c r="G13" s="41">
        <f>E11+E13</f>
        <v>106.89100000000001</v>
      </c>
      <c r="H13" s="41">
        <f>F11+F13</f>
        <v>107.68795</v>
      </c>
      <c r="I13" s="8"/>
      <c r="J13" s="38"/>
      <c r="K13" s="38"/>
      <c r="L13" s="7"/>
      <c r="M13" s="7"/>
    </row>
    <row r="14" spans="1:15" x14ac:dyDescent="0.25">
      <c r="A14" s="2" t="s">
        <v>56</v>
      </c>
      <c r="B14" s="42">
        <f t="shared" si="1"/>
        <v>9.3604167631959646E-3</v>
      </c>
      <c r="C14" s="42">
        <f t="shared" si="0"/>
        <v>9.2906194009501515E-3</v>
      </c>
      <c r="D14" s="42"/>
      <c r="E14" s="46">
        <v>-0.10215000000000884</v>
      </c>
      <c r="F14" s="46">
        <v>-9.9549999999993588E-2</v>
      </c>
      <c r="G14" s="41">
        <f>E11+E14</f>
        <v>106.83284999999999</v>
      </c>
      <c r="H14" s="41">
        <f>F11+F14</f>
        <v>107.63545000000001</v>
      </c>
      <c r="I14" s="8"/>
      <c r="J14" s="38"/>
      <c r="K14" s="38"/>
      <c r="L14" s="7"/>
      <c r="M14" s="7"/>
    </row>
    <row r="15" spans="1:15" x14ac:dyDescent="0.25">
      <c r="A15" s="2" t="s">
        <v>51</v>
      </c>
      <c r="B15" s="42">
        <f t="shared" si="1"/>
        <v>0.65470000000000173</v>
      </c>
      <c r="C15" s="42">
        <f t="shared" si="0"/>
        <v>0.66380000000000217</v>
      </c>
      <c r="D15" s="42"/>
      <c r="E15" s="46">
        <v>1.5274171376202801</v>
      </c>
      <c r="F15" s="46">
        <v>1.50647785477553</v>
      </c>
      <c r="G15" s="41">
        <f>E15</f>
        <v>1.5274171376202801</v>
      </c>
      <c r="H15" s="43">
        <f>F15</f>
        <v>1.50647785477553</v>
      </c>
      <c r="I15" s="8"/>
      <c r="J15" s="38"/>
      <c r="K15" s="38"/>
      <c r="L15" s="7"/>
      <c r="M15" s="7"/>
    </row>
    <row r="16" spans="1:15" x14ac:dyDescent="0.25">
      <c r="A16" s="2" t="s">
        <v>39</v>
      </c>
      <c r="B16" s="42">
        <f t="shared" si="1"/>
        <v>0.65471000000000112</v>
      </c>
      <c r="C16" s="42">
        <f t="shared" si="0"/>
        <v>0.66381000000000079</v>
      </c>
      <c r="D16" s="42"/>
      <c r="E16" s="46">
        <v>-2.3329674780026011E-5</v>
      </c>
      <c r="F16" s="46">
        <v>-2.2694413379875655E-5</v>
      </c>
      <c r="G16" s="41">
        <f>E15+E16</f>
        <v>1.5273938079455001</v>
      </c>
      <c r="H16" s="41">
        <f>F15+F16</f>
        <v>1.5064551603621501</v>
      </c>
      <c r="I16" s="8"/>
      <c r="J16" s="38"/>
      <c r="K16" s="38"/>
      <c r="L16" s="7"/>
      <c r="M16" s="7"/>
    </row>
    <row r="17" spans="1:13" x14ac:dyDescent="0.25">
      <c r="A17" s="2" t="s">
        <v>40</v>
      </c>
      <c r="B17" s="42">
        <f t="shared" si="1"/>
        <v>0.65477000000000185</v>
      </c>
      <c r="C17" s="42">
        <f t="shared" si="0"/>
        <v>0.66382000000000041</v>
      </c>
      <c r="D17" s="42"/>
      <c r="E17" s="46">
        <v>-1.6329275873006033E-4</v>
      </c>
      <c r="F17" s="46">
        <v>-4.5388143010027804E-5</v>
      </c>
      <c r="G17" s="41">
        <f>E15+E17</f>
        <v>1.52725384486155</v>
      </c>
      <c r="H17" s="41">
        <f>F15+F17</f>
        <v>1.50643246663252</v>
      </c>
      <c r="I17" s="8"/>
      <c r="J17" s="38"/>
      <c r="K17" s="38"/>
      <c r="L17" s="7"/>
      <c r="M17" s="7"/>
    </row>
    <row r="18" spans="1:13" x14ac:dyDescent="0.25">
      <c r="A18" s="2" t="s">
        <v>57</v>
      </c>
      <c r="B18" s="42">
        <f t="shared" si="1"/>
        <v>0.65482000000000329</v>
      </c>
      <c r="C18" s="42">
        <f t="shared" si="0"/>
        <v>0.66379000000000032</v>
      </c>
      <c r="D18" s="42"/>
      <c r="E18" s="46">
        <v>-2.7990906893005096E-4</v>
      </c>
      <c r="F18" s="46">
        <v>2.269509717001128E-5</v>
      </c>
      <c r="G18" s="41">
        <f>E15+E18</f>
        <v>1.52713722855135</v>
      </c>
      <c r="H18" s="41">
        <f>F15+F18</f>
        <v>1.5065005498727</v>
      </c>
      <c r="I18" s="8"/>
      <c r="J18" s="38"/>
      <c r="K18" s="38"/>
      <c r="L18" s="7"/>
      <c r="M18" s="7"/>
    </row>
    <row r="19" spans="1:13" x14ac:dyDescent="0.25">
      <c r="A19" s="2" t="s">
        <v>52</v>
      </c>
      <c r="B19" s="42">
        <f t="shared" si="1"/>
        <v>8.2071484262792886E-4</v>
      </c>
      <c r="C19" s="42">
        <f t="shared" si="0"/>
        <v>8.0746093907707215E-4</v>
      </c>
      <c r="D19" s="42"/>
      <c r="E19" s="46">
        <v>1218.45</v>
      </c>
      <c r="F19" s="46">
        <v>1238.45</v>
      </c>
      <c r="G19" s="41">
        <f>E19</f>
        <v>1218.45</v>
      </c>
      <c r="H19" s="43">
        <f>F19</f>
        <v>1238.45</v>
      </c>
      <c r="I19" s="8"/>
      <c r="J19" s="38"/>
      <c r="K19" s="38"/>
      <c r="L19" s="7"/>
      <c r="M19" s="7"/>
    </row>
    <row r="20" spans="1:13" x14ac:dyDescent="0.25">
      <c r="A20" s="2" t="s">
        <v>41</v>
      </c>
      <c r="B20" s="42">
        <f t="shared" si="1"/>
        <v>8.2071484262792886E-4</v>
      </c>
      <c r="C20" s="42">
        <f t="shared" si="0"/>
        <v>8.0742834073475975E-4</v>
      </c>
      <c r="D20" s="42"/>
      <c r="E20" s="46">
        <v>0</v>
      </c>
      <c r="F20" s="46">
        <v>4.9999999999954525E-2</v>
      </c>
      <c r="G20" s="41">
        <f>E19+E20</f>
        <v>1218.45</v>
      </c>
      <c r="H20" s="41">
        <f>F19+F20</f>
        <v>1238.5</v>
      </c>
      <c r="I20" s="8"/>
      <c r="J20" s="38"/>
      <c r="K20" s="38"/>
      <c r="L20" s="7"/>
      <c r="M20" s="7"/>
    </row>
    <row r="21" spans="1:13" x14ac:dyDescent="0.25">
      <c r="A21" s="2" t="s">
        <v>42</v>
      </c>
      <c r="B21" s="42">
        <f t="shared" si="1"/>
        <v>8.2105176731392913E-4</v>
      </c>
      <c r="C21" s="42">
        <f t="shared" si="0"/>
        <v>8.073957450244238E-4</v>
      </c>
      <c r="D21" s="42"/>
      <c r="E21" s="46">
        <v>-0.5</v>
      </c>
      <c r="F21" s="46">
        <v>9.9999999999909051E-2</v>
      </c>
      <c r="G21" s="41">
        <f>E19+E21</f>
        <v>1217.95</v>
      </c>
      <c r="H21" s="41">
        <f>F19+F21</f>
        <v>1238.55</v>
      </c>
      <c r="I21" s="8"/>
      <c r="J21" s="38"/>
      <c r="K21" s="38"/>
      <c r="L21" s="7"/>
      <c r="M21" s="7"/>
    </row>
    <row r="22" spans="1:13" x14ac:dyDescent="0.25">
      <c r="A22" s="2" t="s">
        <v>58</v>
      </c>
      <c r="B22" s="42">
        <f t="shared" si="1"/>
        <v>8.2165892937841501E-4</v>
      </c>
      <c r="C22" s="42">
        <f t="shared" si="0"/>
        <v>8.07526143658901E-4</v>
      </c>
      <c r="D22" s="42"/>
      <c r="E22" s="46">
        <v>-1.4000000000000909</v>
      </c>
      <c r="F22" s="46">
        <v>-0.10000000000013642</v>
      </c>
      <c r="G22" s="41">
        <f>E19+E22</f>
        <v>1217.05</v>
      </c>
      <c r="H22" s="41">
        <f>F19+F22</f>
        <v>1238.3499999999999</v>
      </c>
      <c r="I22" s="8"/>
      <c r="J22" s="38"/>
      <c r="K22" s="38"/>
      <c r="L22" s="7"/>
      <c r="M22" s="7"/>
    </row>
    <row r="23" spans="1:13" x14ac:dyDescent="0.25">
      <c r="G23" s="35"/>
      <c r="H23" s="7"/>
      <c r="I23" s="7"/>
      <c r="J23" s="39"/>
      <c r="K23" s="39"/>
      <c r="L23" s="7"/>
      <c r="M23" s="7"/>
    </row>
    <row r="24" spans="1:13" ht="17.399999999999999" x14ac:dyDescent="0.3">
      <c r="A24" s="11" t="s">
        <v>59</v>
      </c>
      <c r="B24" s="11"/>
      <c r="C24" s="11"/>
      <c r="D24" s="11"/>
      <c r="F24" s="2"/>
      <c r="G24" s="7"/>
      <c r="H24" s="7"/>
      <c r="I24" s="7"/>
      <c r="J24" s="39"/>
      <c r="K24" s="39"/>
      <c r="L24" s="7"/>
      <c r="M24" s="7"/>
    </row>
    <row r="25" spans="1:13" ht="15.6" x14ac:dyDescent="0.3">
      <c r="A25" s="5" t="s">
        <v>7</v>
      </c>
      <c r="B25" s="1" t="s">
        <v>0</v>
      </c>
      <c r="C25" s="1" t="s">
        <v>1</v>
      </c>
      <c r="D25" s="1"/>
      <c r="E25" s="28"/>
      <c r="F25" s="28"/>
      <c r="G25" s="7"/>
      <c r="H25" s="7"/>
      <c r="I25" s="7"/>
      <c r="J25" s="39"/>
      <c r="K25" s="39"/>
      <c r="L25" s="7"/>
      <c r="M25" s="7"/>
    </row>
    <row r="26" spans="1:13" x14ac:dyDescent="0.25">
      <c r="A26" s="2" t="s">
        <v>5</v>
      </c>
      <c r="B26" s="47">
        <v>3.3E-3</v>
      </c>
      <c r="C26" s="47">
        <v>1.8E-3</v>
      </c>
      <c r="E26" s="27"/>
      <c r="F26" s="27"/>
      <c r="G26" s="2"/>
    </row>
    <row r="27" spans="1:13" x14ac:dyDescent="0.25">
      <c r="A27" s="2" t="s">
        <v>2</v>
      </c>
      <c r="B27" s="48">
        <v>-4.3E-3</v>
      </c>
      <c r="C27" s="48">
        <v>-4.7000000000000002E-3</v>
      </c>
      <c r="E27" s="27"/>
      <c r="F27" s="27"/>
      <c r="G27" s="2"/>
    </row>
    <row r="28" spans="1:13" x14ac:dyDescent="0.25">
      <c r="A28" s="2" t="s">
        <v>3</v>
      </c>
      <c r="B28" s="47">
        <v>-5.0000000000000001E-4</v>
      </c>
      <c r="C28" s="47">
        <v>-8.0000000000000004E-4</v>
      </c>
      <c r="E28" s="27"/>
      <c r="F28" s="27"/>
      <c r="G28" s="2"/>
    </row>
    <row r="29" spans="1:13" x14ac:dyDescent="0.25">
      <c r="A29" s="2" t="s">
        <v>4</v>
      </c>
      <c r="B29" s="49">
        <v>9.8299999999999993E-4</v>
      </c>
      <c r="C29" s="49">
        <v>8.9999999999999998E-4</v>
      </c>
      <c r="E29" s="27"/>
      <c r="F29" s="27"/>
      <c r="G29" s="2"/>
    </row>
    <row r="30" spans="1:13" x14ac:dyDescent="0.25">
      <c r="A30" s="2" t="s">
        <v>8</v>
      </c>
      <c r="B30" s="51">
        <v>7.4999999999999997E-3</v>
      </c>
      <c r="C30" s="45"/>
      <c r="E30" s="27"/>
      <c r="F30" s="27"/>
      <c r="G30" s="2"/>
    </row>
    <row r="31" spans="1:13" x14ac:dyDescent="0.25">
      <c r="E31" s="27"/>
      <c r="F31" s="27"/>
      <c r="G31" s="2"/>
    </row>
    <row r="32" spans="1:13" x14ac:dyDescent="0.25">
      <c r="E32" s="27"/>
      <c r="F32" s="27"/>
      <c r="G32" s="2"/>
    </row>
    <row r="33" spans="5:7" x14ac:dyDescent="0.25">
      <c r="E33" s="27"/>
      <c r="F33" s="27"/>
      <c r="G33" s="2"/>
    </row>
    <row r="34" spans="5:7" x14ac:dyDescent="0.25">
      <c r="E34" s="27"/>
      <c r="F34" s="27"/>
      <c r="G34" s="2"/>
    </row>
    <row r="35" spans="5:7" x14ac:dyDescent="0.25">
      <c r="E35" s="27"/>
      <c r="F35" s="27"/>
    </row>
  </sheetData>
  <mergeCells count="2">
    <mergeCell ref="E1:F1"/>
    <mergeCell ref="G1:H1"/>
  </mergeCells>
  <phoneticPr fontId="0"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1"/>
  <sheetViews>
    <sheetView workbookViewId="0">
      <selection activeCell="B9" sqref="B9"/>
    </sheetView>
  </sheetViews>
  <sheetFormatPr defaultColWidth="9.109375" defaultRowHeight="15" x14ac:dyDescent="0.25"/>
  <cols>
    <col min="1" max="1" width="9.44140625" style="2" customWidth="1"/>
    <col min="2" max="20" width="12" style="2" customWidth="1"/>
    <col min="21" max="23" width="14.33203125" style="2" customWidth="1"/>
    <col min="24" max="24" width="12" style="2" customWidth="1"/>
    <col min="25" max="25" width="15.33203125" style="2" customWidth="1"/>
    <col min="26" max="16384" width="9.109375" style="2"/>
  </cols>
  <sheetData>
    <row r="1" spans="1:25" s="14" customFormat="1" ht="21" x14ac:dyDescent="0.4">
      <c r="A1" s="6" t="s">
        <v>14</v>
      </c>
    </row>
    <row r="3" spans="1:25" s="1" customFormat="1" ht="46.8" x14ac:dyDescent="0.3">
      <c r="A3" s="1" t="s">
        <v>32</v>
      </c>
      <c r="B3" s="1" t="s">
        <v>29</v>
      </c>
      <c r="C3" s="1" t="s">
        <v>62</v>
      </c>
      <c r="D3" s="1" t="s">
        <v>21</v>
      </c>
      <c r="E3" s="1" t="s">
        <v>22</v>
      </c>
      <c r="F3" s="1" t="s">
        <v>63</v>
      </c>
      <c r="G3" s="1" t="s">
        <v>64</v>
      </c>
      <c r="H3" s="1" t="s">
        <v>65</v>
      </c>
      <c r="I3" s="1" t="s">
        <v>66</v>
      </c>
      <c r="J3" s="1" t="s">
        <v>67</v>
      </c>
      <c r="K3" s="1" t="s">
        <v>68</v>
      </c>
      <c r="L3" s="1" t="s">
        <v>69</v>
      </c>
      <c r="M3" s="1" t="s">
        <v>70</v>
      </c>
      <c r="N3" s="1" t="s">
        <v>15</v>
      </c>
      <c r="O3" s="1" t="s">
        <v>16</v>
      </c>
      <c r="P3" s="1" t="s">
        <v>17</v>
      </c>
      <c r="Q3" s="1" t="s">
        <v>18</v>
      </c>
      <c r="R3" s="1" t="s">
        <v>19</v>
      </c>
      <c r="S3" s="1" t="s">
        <v>20</v>
      </c>
      <c r="T3" s="1" t="s">
        <v>24</v>
      </c>
      <c r="U3" s="1" t="s">
        <v>25</v>
      </c>
      <c r="V3" s="1" t="s">
        <v>73</v>
      </c>
      <c r="W3" s="1" t="s">
        <v>74</v>
      </c>
      <c r="X3" s="1" t="s">
        <v>75</v>
      </c>
      <c r="Y3" s="1" t="s">
        <v>26</v>
      </c>
    </row>
    <row r="4" spans="1:25" x14ac:dyDescent="0.25">
      <c r="A4" s="2" t="s">
        <v>2</v>
      </c>
      <c r="B4" s="2" t="s">
        <v>2</v>
      </c>
      <c r="C4" s="44">
        <v>1.1032</v>
      </c>
      <c r="D4" s="45">
        <v>38</v>
      </c>
      <c r="E4" s="2">
        <f>D4-30</f>
        <v>8</v>
      </c>
      <c r="F4" s="2">
        <v>30</v>
      </c>
      <c r="G4" s="2">
        <v>60</v>
      </c>
      <c r="H4" s="2">
        <v>7</v>
      </c>
      <c r="I4" s="2">
        <v>30</v>
      </c>
      <c r="J4" s="2" t="str">
        <f t="shared" ref="J4:M7" si="0">$B4&amp;"|"&amp;TEXT(F4,"#0")</f>
        <v>EUR|30</v>
      </c>
      <c r="K4" s="2" t="str">
        <f t="shared" si="0"/>
        <v>EUR|60</v>
      </c>
      <c r="L4" s="2" t="str">
        <f t="shared" si="0"/>
        <v>EUR|7</v>
      </c>
      <c r="M4" s="2" t="str">
        <f t="shared" si="0"/>
        <v>EUR|30</v>
      </c>
      <c r="N4" s="2">
        <f t="shared" ref="N4:O7" si="1">VLOOKUP(J4,FwdFX,2,FALSE)</f>
        <v>1.0959600000000005</v>
      </c>
      <c r="O4" s="2">
        <f t="shared" si="1"/>
        <v>1.0967100000000001</v>
      </c>
      <c r="P4" s="2">
        <f t="shared" ref="P4:Q7" si="2">VLOOKUP(L4,FwdFX,3,FALSE)</f>
        <v>1.1124900000000006</v>
      </c>
      <c r="Q4" s="2">
        <f t="shared" si="2"/>
        <v>1.1130300000000004</v>
      </c>
      <c r="R4" s="2">
        <f>((O4-N4)*($D4-$F4)/($G4-$F4))+N4</f>
        <v>1.0961600000000005</v>
      </c>
      <c r="S4" s="2">
        <f>((Q4-P4)*($E4-$H4)/($I4-$H4))+P4</f>
        <v>1.1125134782608701</v>
      </c>
      <c r="T4" s="2">
        <f t="shared" ref="T4:U7" si="3">R4-$C4</f>
        <v>-7.0399999999994911E-3</v>
      </c>
      <c r="U4" s="2">
        <f t="shared" si="3"/>
        <v>9.313478260870145E-3</v>
      </c>
      <c r="V4" s="63">
        <f t="shared" ref="V4:W7" si="4">VLOOKUP(L4,FwdFX,2,FALSE)</f>
        <v>1.0954400000000004</v>
      </c>
      <c r="W4" s="63">
        <f t="shared" si="4"/>
        <v>1.0959600000000005</v>
      </c>
      <c r="X4" s="2">
        <f>((W4-V4)*($E4-$H4)/($I4-$H4))+V4</f>
        <v>1.0954626086956525</v>
      </c>
      <c r="Y4" s="18">
        <f>X4-R4</f>
        <v>-6.9739130434798291E-4</v>
      </c>
    </row>
    <row r="5" spans="1:25" x14ac:dyDescent="0.25">
      <c r="A5" s="2" t="s">
        <v>3</v>
      </c>
      <c r="B5" s="2" t="s">
        <v>3</v>
      </c>
      <c r="C5" s="44">
        <f>1/110.72</f>
        <v>9.0317919075144516E-3</v>
      </c>
      <c r="D5" s="45">
        <v>50</v>
      </c>
      <c r="E5" s="2">
        <f t="shared" ref="E5:E7" si="5">D5-30</f>
        <v>20</v>
      </c>
      <c r="F5" s="2">
        <v>30</v>
      </c>
      <c r="G5" s="2">
        <v>60</v>
      </c>
      <c r="H5" s="2">
        <v>7</v>
      </c>
      <c r="I5" s="2">
        <v>30</v>
      </c>
      <c r="J5" s="2" t="str">
        <f t="shared" si="0"/>
        <v>JPY|30</v>
      </c>
      <c r="K5" s="2" t="str">
        <f t="shared" si="0"/>
        <v>JPY|60</v>
      </c>
      <c r="L5" s="2" t="str">
        <f t="shared" si="0"/>
        <v>JPY|7</v>
      </c>
      <c r="M5" s="2" t="str">
        <f t="shared" si="0"/>
        <v>JPY|30</v>
      </c>
      <c r="N5" s="2">
        <f t="shared" si="1"/>
        <v>9.3553245829864056E-3</v>
      </c>
      <c r="O5" s="2">
        <f t="shared" si="1"/>
        <v>9.3604167631959646E-3</v>
      </c>
      <c r="P5" s="2">
        <f t="shared" si="2"/>
        <v>9.282646371088641E-3</v>
      </c>
      <c r="Q5" s="2">
        <f t="shared" si="2"/>
        <v>9.2860900407148624E-3</v>
      </c>
      <c r="R5" s="2">
        <f t="shared" ref="R5:R7" si="6">((O5-N5)*($D5-$F5)/($G5-$F5))+N5</f>
        <v>9.3587193697927777E-3</v>
      </c>
      <c r="S5" s="2">
        <f t="shared" ref="S5:S7" si="7">((Q5-P5)*($E5-$H5)/($I5-$H5))+P5</f>
        <v>9.2845927930512873E-3</v>
      </c>
      <c r="T5" s="2">
        <f t="shared" si="3"/>
        <v>3.2692746227832616E-4</v>
      </c>
      <c r="U5" s="2">
        <f t="shared" si="3"/>
        <v>2.5280088553683577E-4</v>
      </c>
      <c r="V5" s="63">
        <f t="shared" si="4"/>
        <v>9.3523191647256719E-3</v>
      </c>
      <c r="W5" s="63">
        <f t="shared" si="4"/>
        <v>9.3553245829864056E-3</v>
      </c>
      <c r="X5" s="2">
        <f t="shared" ref="X5:X7" si="8">((W5-V5)*($E5-$H5)/($I5-$H5))+V5</f>
        <v>9.3540178793947819E-3</v>
      </c>
      <c r="Y5" s="18">
        <f>X5-R5</f>
        <v>-4.7014903979958333E-6</v>
      </c>
    </row>
    <row r="6" spans="1:25" x14ac:dyDescent="0.25">
      <c r="A6" s="2" t="s">
        <v>4</v>
      </c>
      <c r="B6" s="2" t="s">
        <v>4</v>
      </c>
      <c r="C6" s="44">
        <v>0.57730000000000004</v>
      </c>
      <c r="D6" s="45">
        <v>40</v>
      </c>
      <c r="E6" s="2">
        <f t="shared" si="5"/>
        <v>10</v>
      </c>
      <c r="F6" s="2">
        <v>30</v>
      </c>
      <c r="G6" s="2">
        <v>60</v>
      </c>
      <c r="H6" s="2">
        <v>7</v>
      </c>
      <c r="I6" s="2">
        <v>30</v>
      </c>
      <c r="J6" s="2" t="str">
        <f t="shared" si="0"/>
        <v>AUD|30</v>
      </c>
      <c r="K6" s="2" t="str">
        <f t="shared" si="0"/>
        <v>AUD|60</v>
      </c>
      <c r="L6" s="2" t="str">
        <f t="shared" si="0"/>
        <v>AUD|7</v>
      </c>
      <c r="M6" s="2" t="str">
        <f t="shared" si="0"/>
        <v>AUD|30</v>
      </c>
      <c r="N6" s="2">
        <f t="shared" si="1"/>
        <v>0.65477000000000185</v>
      </c>
      <c r="O6" s="2">
        <f t="shared" si="1"/>
        <v>0.65482000000000329</v>
      </c>
      <c r="P6" s="2">
        <f t="shared" si="2"/>
        <v>0.66381000000000079</v>
      </c>
      <c r="Q6" s="2">
        <f t="shared" si="2"/>
        <v>0.66382000000000041</v>
      </c>
      <c r="R6" s="2">
        <f t="shared" si="6"/>
        <v>0.65478666666666896</v>
      </c>
      <c r="S6" s="2">
        <f t="shared" si="7"/>
        <v>0.66381130434782687</v>
      </c>
      <c r="T6" s="2">
        <f t="shared" si="3"/>
        <v>7.7486666666668924E-2</v>
      </c>
      <c r="U6" s="2">
        <f t="shared" si="3"/>
        <v>8.6511304347826834E-2</v>
      </c>
      <c r="V6" s="63">
        <f t="shared" si="4"/>
        <v>0.65471000000000112</v>
      </c>
      <c r="W6" s="63">
        <f t="shared" si="4"/>
        <v>0.65477000000000185</v>
      </c>
      <c r="X6" s="2">
        <f t="shared" si="8"/>
        <v>0.65471782608695772</v>
      </c>
      <c r="Y6" s="18">
        <f>X6-R6</f>
        <v>-6.8840579711237915E-5</v>
      </c>
    </row>
    <row r="7" spans="1:25" x14ac:dyDescent="0.25">
      <c r="A7" s="2" t="s">
        <v>3</v>
      </c>
      <c r="B7" s="2" t="s">
        <v>8</v>
      </c>
      <c r="C7" s="44">
        <f>1/1233.3</f>
        <v>8.1083272520878944E-4</v>
      </c>
      <c r="D7" s="45">
        <v>50</v>
      </c>
      <c r="E7" s="2">
        <f t="shared" si="5"/>
        <v>20</v>
      </c>
      <c r="F7" s="2">
        <v>30</v>
      </c>
      <c r="G7" s="2">
        <v>60</v>
      </c>
      <c r="H7" s="2">
        <v>7</v>
      </c>
      <c r="I7" s="2">
        <v>30</v>
      </c>
      <c r="J7" s="2" t="str">
        <f t="shared" si="0"/>
        <v>KRW|30</v>
      </c>
      <c r="K7" s="2" t="str">
        <f t="shared" si="0"/>
        <v>KRW|60</v>
      </c>
      <c r="L7" s="2" t="str">
        <f t="shared" si="0"/>
        <v>KRW|7</v>
      </c>
      <c r="M7" s="2" t="str">
        <f t="shared" si="0"/>
        <v>KRW|30</v>
      </c>
      <c r="N7" s="2">
        <f t="shared" si="1"/>
        <v>8.2105176731392913E-4</v>
      </c>
      <c r="O7" s="2">
        <f t="shared" si="1"/>
        <v>8.2165892937841501E-4</v>
      </c>
      <c r="P7" s="2">
        <f t="shared" si="2"/>
        <v>8.0742834073475975E-4</v>
      </c>
      <c r="Q7" s="2">
        <f t="shared" si="2"/>
        <v>8.073957450244238E-4</v>
      </c>
      <c r="R7" s="2">
        <f t="shared" si="6"/>
        <v>8.2145654202358642E-4</v>
      </c>
      <c r="S7" s="2">
        <f t="shared" si="7"/>
        <v>8.0740991707239592E-4</v>
      </c>
      <c r="T7" s="2">
        <f t="shared" si="3"/>
        <v>1.0623816814796976E-5</v>
      </c>
      <c r="U7" s="18">
        <f t="shared" si="3"/>
        <v>-3.42280813639352E-6</v>
      </c>
      <c r="V7" s="63">
        <f t="shared" si="4"/>
        <v>8.2071484262792886E-4</v>
      </c>
      <c r="W7" s="63">
        <f t="shared" si="4"/>
        <v>8.2105176731392913E-4</v>
      </c>
      <c r="X7" s="2">
        <f t="shared" si="8"/>
        <v>8.2090527832001593E-4</v>
      </c>
      <c r="Y7" s="18">
        <f>X7-R7</f>
        <v>-5.5126370357048374E-7</v>
      </c>
    </row>
    <row r="8" spans="1:25" x14ac:dyDescent="0.25">
      <c r="C8" s="15"/>
      <c r="D8" s="15"/>
      <c r="E8" s="15"/>
    </row>
    <row r="9" spans="1:25" ht="17.399999999999999" x14ac:dyDescent="0.3">
      <c r="B9" s="12" t="s">
        <v>80</v>
      </c>
    </row>
    <row r="10" spans="1:25" ht="17.399999999999999" x14ac:dyDescent="0.3">
      <c r="B10" s="12" t="s">
        <v>81</v>
      </c>
    </row>
    <row r="11" spans="1:25" ht="17.399999999999999" x14ac:dyDescent="0.3">
      <c r="B11" s="12" t="s">
        <v>78</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workbookViewId="0">
      <selection activeCell="E2" sqref="E2:E7"/>
    </sheetView>
  </sheetViews>
  <sheetFormatPr defaultColWidth="9.109375" defaultRowHeight="15" x14ac:dyDescent="0.25"/>
  <cols>
    <col min="1" max="1" width="15.5546875" style="2" customWidth="1"/>
    <col min="2" max="2" width="13.88671875" style="2" customWidth="1"/>
    <col min="3" max="3" width="22.44140625" style="2" customWidth="1"/>
    <col min="4" max="4" width="23.6640625" style="2" customWidth="1"/>
    <col min="5" max="5" width="13.5546875" style="2" customWidth="1"/>
    <col min="6" max="6" width="4.6640625" style="2" customWidth="1"/>
    <col min="7" max="8" width="20.44140625" style="2" customWidth="1"/>
    <col min="9" max="9" width="7" style="2" customWidth="1"/>
    <col min="10" max="10" width="20.44140625" style="2" customWidth="1"/>
    <col min="11" max="11" width="18.109375" style="2" customWidth="1"/>
    <col min="12" max="12" width="12" style="2" customWidth="1"/>
    <col min="13" max="13" width="16.109375" style="2" bestFit="1" customWidth="1"/>
    <col min="14" max="16384" width="9.109375" style="2"/>
  </cols>
  <sheetData>
    <row r="1" spans="1:14" s="12" customFormat="1" ht="17.399999999999999" x14ac:dyDescent="0.3">
      <c r="A1" s="11" t="s">
        <v>9</v>
      </c>
      <c r="C1" s="79" t="s">
        <v>11</v>
      </c>
      <c r="D1" s="79"/>
      <c r="E1" s="13"/>
      <c r="G1" s="79" t="s">
        <v>12</v>
      </c>
      <c r="H1" s="79"/>
      <c r="J1" s="79" t="s">
        <v>27</v>
      </c>
      <c r="K1" s="79"/>
    </row>
    <row r="2" spans="1:14" s="25" customFormat="1" ht="15.6" x14ac:dyDescent="0.3">
      <c r="A2" s="26" t="s">
        <v>28</v>
      </c>
      <c r="B2" s="26" t="s">
        <v>6</v>
      </c>
      <c r="C2" s="25" t="s">
        <v>0</v>
      </c>
      <c r="D2" s="25" t="s">
        <v>1</v>
      </c>
      <c r="E2" s="70"/>
      <c r="G2" s="25" t="s">
        <v>0</v>
      </c>
      <c r="H2" s="25" t="s">
        <v>1</v>
      </c>
      <c r="J2" s="25" t="s">
        <v>0</v>
      </c>
      <c r="K2" s="25" t="s">
        <v>1</v>
      </c>
      <c r="M2" s="25" t="s">
        <v>72</v>
      </c>
    </row>
    <row r="3" spans="1:14" x14ac:dyDescent="0.25">
      <c r="A3" s="2" t="s">
        <v>2</v>
      </c>
      <c r="B3" s="2" t="s">
        <v>2</v>
      </c>
      <c r="C3" s="16">
        <v>10000000</v>
      </c>
      <c r="D3" s="24">
        <v>10303796.723818488</v>
      </c>
      <c r="E3" s="55"/>
      <c r="F3" s="17"/>
      <c r="G3" s="50">
        <f>C3*VLOOKUP($B3&amp;"|0",FwdFX,2,FALSE)</f>
        <v>10953000.000000002</v>
      </c>
      <c r="H3" s="50">
        <f>D3*VLOOKUP($B3&amp;"|0",FwdFX,3,FALSE)</f>
        <v>11461428.285739498</v>
      </c>
      <c r="J3" s="23">
        <f>-C13/(C3*VLOOKUP($B3&amp;"|0",FwdFX,2,FALSE)/VLOOKUP($A3&amp;"|0",FwdFX,2,FALSE))</f>
        <v>0.97199999999999998</v>
      </c>
      <c r="K3" s="23">
        <f>-D13/(D3*VLOOKUP($B3&amp;"|0",FwdFX,3,FALSE)/VLOOKUP($A3&amp;"|0",FwdFX,3,FALSE))</f>
        <v>0.94334159150587948</v>
      </c>
      <c r="M3" s="19">
        <f>G3/SUM($G$3:$G$6)</f>
        <v>0.26491201013381988</v>
      </c>
      <c r="N3" s="2">
        <f>M3*J3</f>
        <v>0.2574944738500729</v>
      </c>
    </row>
    <row r="4" spans="1:14" x14ac:dyDescent="0.25">
      <c r="A4" s="2" t="s">
        <v>3</v>
      </c>
      <c r="B4" s="2" t="s">
        <v>3</v>
      </c>
      <c r="C4" s="16">
        <v>1200000000</v>
      </c>
      <c r="D4" s="24">
        <v>1281670457.5725908</v>
      </c>
      <c r="E4" s="55"/>
      <c r="F4" s="17"/>
      <c r="G4" s="50">
        <f>C4*VLOOKUP($B4&amp;"|0",FwdFX,2,FALSE)</f>
        <v>11221770.234254453</v>
      </c>
      <c r="H4" s="50">
        <f>D4*VLOOKUP($B4&amp;"|0",FwdFX,3,FALSE)</f>
        <v>11896509.561169451</v>
      </c>
      <c r="J4" s="23">
        <f>-C14/(C4*VLOOKUP($B4&amp;"|0",FwdFX,2,FALSE)/VLOOKUP($A4&amp;"|0",FwdFX,2,FALSE))</f>
        <v>0.91666666666666663</v>
      </c>
      <c r="K4" s="23">
        <f>-D14/(D4*VLOOKUP($B4&amp;"|0",FwdFX,3,FALSE)/VLOOKUP($A4&amp;"|0",FwdFX,3,FALSE))</f>
        <v>0.85825493870189995</v>
      </c>
      <c r="M4" s="19">
        <f t="shared" ref="M4:M6" si="0">G4/SUM($G$3:$G$6)</f>
        <v>0.27141255455274477</v>
      </c>
      <c r="N4" s="2">
        <f t="shared" ref="N4:N6" si="1">M4*J4</f>
        <v>0.24879484167334937</v>
      </c>
    </row>
    <row r="5" spans="1:14" x14ac:dyDescent="0.25">
      <c r="A5" s="2" t="s">
        <v>4</v>
      </c>
      <c r="B5" s="2" t="s">
        <v>4</v>
      </c>
      <c r="C5" s="16">
        <v>18000000</v>
      </c>
      <c r="D5" s="24">
        <v>18760430.247718383</v>
      </c>
      <c r="E5" s="55"/>
      <c r="F5" s="17"/>
      <c r="G5" s="50">
        <f>C5*VLOOKUP($B5&amp;"|0",FwdFX,2,FALSE)</f>
        <v>11784600.000000032</v>
      </c>
      <c r="H5" s="50">
        <f>D5*VLOOKUP($B5&amp;"|0",FwdFX,3,FALSE)</f>
        <v>12453173.598435502</v>
      </c>
      <c r="J5" s="23">
        <f>-C15/(C5*VLOOKUP($B5&amp;"|0",FwdFX,2,FALSE)/VLOOKUP($A5&amp;"|0",FwdFX,2,FALSE))</f>
        <v>1.02</v>
      </c>
      <c r="K5" s="23">
        <f>-D15/(D5*VLOOKUP($B5&amp;"|0",FwdFX,3,FALSE)/VLOOKUP($A5&amp;"|0",FwdFX,3,FALSE))</f>
        <v>0.97865559358548915</v>
      </c>
      <c r="M5" s="19">
        <f t="shared" si="0"/>
        <v>0.28502529668794135</v>
      </c>
      <c r="N5" s="2">
        <f t="shared" si="1"/>
        <v>0.29072580262170017</v>
      </c>
    </row>
    <row r="6" spans="1:14" x14ac:dyDescent="0.25">
      <c r="A6" s="2" t="s">
        <v>3</v>
      </c>
      <c r="B6" s="2" t="s">
        <v>8</v>
      </c>
      <c r="C6" s="16">
        <v>9000000000</v>
      </c>
      <c r="D6" s="24">
        <v>9407535975.1135654</v>
      </c>
      <c r="E6" s="55"/>
      <c r="F6" s="17"/>
      <c r="G6" s="50">
        <f>C6*VLOOKUP($B6&amp;"|0",FwdFX,2,FALSE)</f>
        <v>7386433.5836513601</v>
      </c>
      <c r="H6" s="50">
        <f>D6*VLOOKUP($B6&amp;"|0",FwdFX,3,FALSE)</f>
        <v>7596217.8328665392</v>
      </c>
      <c r="J6" s="23">
        <f>-C16/(C6*VLOOKUP($B6&amp;"|0",FwdFX,2,FALSE)/VLOOKUP($A6&amp;"|0",FwdFX,2,FALSE))</f>
        <v>0.94952541263384294</v>
      </c>
      <c r="K6" s="23">
        <f>-D16/(D6*VLOOKUP($B6&amp;"|0",FwdFX,3,FALSE)/VLOOKUP($A6&amp;"|0",FwdFX,3,FALSE))</f>
        <v>10.440922429334325</v>
      </c>
      <c r="M6" s="19">
        <f t="shared" si="0"/>
        <v>0.17865013862549406</v>
      </c>
      <c r="N6" s="2">
        <f t="shared" si="1"/>
        <v>0.16963284659546549</v>
      </c>
    </row>
    <row r="7" spans="1:14" x14ac:dyDescent="0.25">
      <c r="A7" s="2" t="s">
        <v>5</v>
      </c>
      <c r="B7" s="2" t="s">
        <v>5</v>
      </c>
      <c r="C7" s="16">
        <v>15000000</v>
      </c>
      <c r="D7" s="24">
        <v>15631867.567623075</v>
      </c>
      <c r="E7" s="55"/>
      <c r="F7" s="17"/>
      <c r="G7" s="50">
        <f>C7*VLOOKUP($B7&amp;"|0",FwdFX,2,FALSE)</f>
        <v>15000000</v>
      </c>
      <c r="H7" s="50">
        <f>D7*VLOOKUP($B7&amp;"|0",FwdFX,3,FALSE)</f>
        <v>15631867.567623075</v>
      </c>
      <c r="J7" s="23">
        <f>-C17/(C7*VLOOKUP($B7&amp;"|0",FwdFX,2,FALSE)/VLOOKUP($A7&amp;"|0",FwdFX,2,FALSE))</f>
        <v>0</v>
      </c>
      <c r="K7" s="23">
        <f>-D17/(D7*VLOOKUP($B7&amp;"|0",FwdFX,3,FALSE)/VLOOKUP($A7&amp;"|0",FwdFX,3,FALSE))</f>
        <v>0</v>
      </c>
    </row>
    <row r="8" spans="1:14" ht="3" customHeight="1" x14ac:dyDescent="0.25">
      <c r="C8" s="17"/>
      <c r="D8" s="17"/>
      <c r="E8" s="17"/>
      <c r="F8" s="17"/>
      <c r="G8" s="17"/>
      <c r="H8" s="17"/>
    </row>
    <row r="9" spans="1:14" ht="15.6" x14ac:dyDescent="0.3">
      <c r="B9" s="5" t="s">
        <v>10</v>
      </c>
      <c r="C9" s="17"/>
      <c r="D9" s="17"/>
      <c r="E9" s="17"/>
      <c r="F9" s="17"/>
      <c r="G9" s="17">
        <f>SUM(G3:G7)</f>
        <v>56345803.817905843</v>
      </c>
      <c r="H9" s="17">
        <f>SUM(H3:H7)</f>
        <v>59039196.845834062</v>
      </c>
      <c r="M9" s="2">
        <f>SUM(M3:M7)</f>
        <v>1</v>
      </c>
      <c r="N9" s="2">
        <f>SUM(N3:N7)</f>
        <v>0.96664796474058789</v>
      </c>
    </row>
    <row r="11" spans="1:14" s="31" customFormat="1" ht="17.399999999999999" x14ac:dyDescent="0.3">
      <c r="A11" s="32" t="s">
        <v>13</v>
      </c>
      <c r="C11" s="32" t="s">
        <v>23</v>
      </c>
      <c r="D11" s="32" t="s">
        <v>71</v>
      </c>
    </row>
    <row r="12" spans="1:14" s="12" customFormat="1" ht="17.399999999999999" x14ac:dyDescent="0.3">
      <c r="A12" s="5" t="s">
        <v>29</v>
      </c>
      <c r="C12" s="11"/>
      <c r="J12" s="12" t="s">
        <v>46</v>
      </c>
    </row>
    <row r="13" spans="1:14" x14ac:dyDescent="0.25">
      <c r="A13" s="2" t="s">
        <v>2</v>
      </c>
      <c r="B13" s="2" t="s">
        <v>2</v>
      </c>
      <c r="C13" s="22">
        <f>-C3*0.972</f>
        <v>-9720000</v>
      </c>
      <c r="D13" s="50">
        <f>C13*VLOOKUP(B13,HedgingFwd,17,FALSE)/VLOOKUP(A13,HedgingFwd,17,FALSE)</f>
        <v>-9720000</v>
      </c>
      <c r="E13" s="17"/>
      <c r="G13" s="17">
        <f>VLOOKUP($B13,HedgingFwd,17,FALSE)*C13</f>
        <v>-10654675.200000005</v>
      </c>
      <c r="H13" s="17">
        <f>VLOOKUP($B13,HedgingFwd,18,FALSE)*C13</f>
        <v>-10813631.008695658</v>
      </c>
      <c r="I13" s="20"/>
      <c r="J13" s="17">
        <f>VLOOKUP($A13,HedgingFwd,18,FALSE)*D13</f>
        <v>-10813631.008695658</v>
      </c>
    </row>
    <row r="14" spans="1:14" x14ac:dyDescent="0.25">
      <c r="A14" s="2" t="s">
        <v>3</v>
      </c>
      <c r="B14" s="2" t="s">
        <v>3</v>
      </c>
      <c r="C14" s="22">
        <f>-C4*11/12</f>
        <v>-1100000000</v>
      </c>
      <c r="D14" s="50">
        <f>C14*VLOOKUP(B14,HedgingFwd,17,FALSE)/VLOOKUP(A14,HedgingFwd,17,FALSE)</f>
        <v>-1100000000</v>
      </c>
      <c r="E14" s="17"/>
      <c r="G14" s="17">
        <f>VLOOKUP($B14,HedgingFwd,17,FALSE)*C14</f>
        <v>-10294591.306772055</v>
      </c>
      <c r="H14" s="17">
        <f>VLOOKUP($B14,HedgingFwd,18,FALSE)*C14</f>
        <v>-10213052.072356416</v>
      </c>
      <c r="J14" s="17">
        <f>VLOOKUP($A14,HedgingFwd,18,FALSE)*D14</f>
        <v>-10213052.072356416</v>
      </c>
    </row>
    <row r="15" spans="1:14" x14ac:dyDescent="0.25">
      <c r="A15" s="2" t="s">
        <v>4</v>
      </c>
      <c r="B15" s="2" t="s">
        <v>4</v>
      </c>
      <c r="C15" s="22">
        <f>-C5*1.02</f>
        <v>-18360000</v>
      </c>
      <c r="D15" s="50">
        <f>C15*VLOOKUP(B15,HedgingFwd,17,FALSE)/VLOOKUP(A15,HedgingFwd,17,FALSE)</f>
        <v>-18360000</v>
      </c>
      <c r="E15" s="17"/>
      <c r="G15" s="17">
        <f>VLOOKUP($B15,HedgingFwd,17,FALSE)*C15</f>
        <v>-12021883.200000042</v>
      </c>
      <c r="H15" s="17">
        <f>VLOOKUP($B15,HedgingFwd,18,FALSE)*C15</f>
        <v>-12187575.547826102</v>
      </c>
      <c r="J15" s="17">
        <f>VLOOKUP($A15,HedgingFwd,18,FALSE)*D15</f>
        <v>-12187575.547826102</v>
      </c>
    </row>
    <row r="16" spans="1:14" x14ac:dyDescent="0.25">
      <c r="A16" s="2" t="s">
        <v>8</v>
      </c>
      <c r="B16" s="2" t="s">
        <v>3</v>
      </c>
      <c r="C16" s="22">
        <v>-750000000</v>
      </c>
      <c r="D16" s="50">
        <f>C16*VLOOKUP(B16,HedgingFwd,17,FALSE)/VLOOKUP(A16,HedgingFwd,17,FALSE)</f>
        <v>-8544626731.0182877</v>
      </c>
      <c r="E16" s="17"/>
      <c r="G16" s="17">
        <f>VLOOKUP($B16,HedgingFwd,17,FALSE)*C16</f>
        <v>-7019039.5273445835</v>
      </c>
      <c r="H16" s="17">
        <f>VLOOKUP($B16,HedgingFwd,18,FALSE)*C16</f>
        <v>-6963444.5947884656</v>
      </c>
      <c r="J16" s="17">
        <f>VLOOKUP($A16,HedgingFwd,18,FALSE)*D16</f>
        <v>-6899016.3603060534</v>
      </c>
    </row>
    <row r="17" spans="1:10" ht="6" customHeight="1" x14ac:dyDescent="0.25">
      <c r="C17" s="21"/>
      <c r="D17" s="17"/>
      <c r="E17" s="17"/>
      <c r="G17" s="17"/>
      <c r="H17" s="17"/>
    </row>
    <row r="18" spans="1:10" ht="15.6" x14ac:dyDescent="0.3">
      <c r="B18" s="5" t="s">
        <v>10</v>
      </c>
      <c r="C18" s="21"/>
      <c r="D18" s="17"/>
      <c r="E18" s="17"/>
      <c r="G18" s="17">
        <f>SUM(G13:G16)</f>
        <v>-39990189.234116688</v>
      </c>
      <c r="H18" s="17">
        <f>SUM(H13:H16)</f>
        <v>-40177703.223666638</v>
      </c>
      <c r="J18" s="17">
        <f>SUM(J13:J16)</f>
        <v>-40113274.989184231</v>
      </c>
    </row>
    <row r="19" spans="1:10" x14ac:dyDescent="0.25">
      <c r="C19" s="21"/>
      <c r="D19" s="17"/>
      <c r="E19" s="17"/>
    </row>
    <row r="20" spans="1:10" ht="17.399999999999999" x14ac:dyDescent="0.3">
      <c r="A20" s="11"/>
      <c r="C20" s="21"/>
      <c r="D20" s="17"/>
      <c r="E20" s="17"/>
    </row>
    <row r="21" spans="1:10" ht="17.399999999999999" x14ac:dyDescent="0.3">
      <c r="A21" s="11" t="s">
        <v>10</v>
      </c>
      <c r="G21" s="19">
        <f>G18+G9</f>
        <v>16355614.583789155</v>
      </c>
      <c r="H21" s="19">
        <f>H18+H9</f>
        <v>18861493.622167423</v>
      </c>
    </row>
    <row r="24" spans="1:10" ht="17.399999999999999" x14ac:dyDescent="0.3">
      <c r="A24" s="11"/>
      <c r="B24" s="12" t="s">
        <v>82</v>
      </c>
      <c r="C24" s="11"/>
    </row>
  </sheetData>
  <mergeCells count="3">
    <mergeCell ref="C1:D1"/>
    <mergeCell ref="G1:H1"/>
    <mergeCell ref="J1:K1"/>
  </mergeCells>
  <phoneticPr fontId="0"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workbookViewId="0"/>
  </sheetViews>
  <sheetFormatPr defaultColWidth="9.109375" defaultRowHeight="15" x14ac:dyDescent="0.25"/>
  <cols>
    <col min="1" max="1" width="15.5546875" style="2" customWidth="1"/>
    <col min="2" max="2" width="13.88671875" style="2" customWidth="1"/>
    <col min="3" max="3" width="16.5546875" style="2" customWidth="1"/>
    <col min="4" max="5" width="20" style="2" customWidth="1"/>
    <col min="6" max="8" width="20.44140625" style="2" customWidth="1"/>
    <col min="9" max="9" width="23.88671875" style="2" customWidth="1"/>
    <col min="10" max="10" width="20.44140625" style="2" customWidth="1"/>
    <col min="11" max="11" width="18.109375" style="2" customWidth="1"/>
    <col min="12" max="12" width="18.44140625" style="2" customWidth="1"/>
    <col min="13" max="16384" width="9.109375" style="2"/>
  </cols>
  <sheetData>
    <row r="1" spans="1:12" s="12" customFormat="1" ht="17.399999999999999" x14ac:dyDescent="0.3">
      <c r="A1" s="11" t="s">
        <v>30</v>
      </c>
      <c r="C1" s="79"/>
      <c r="D1" s="79"/>
      <c r="F1" s="79"/>
      <c r="G1" s="79"/>
      <c r="H1" s="13"/>
      <c r="J1" s="79"/>
      <c r="K1" s="79"/>
    </row>
    <row r="2" spans="1:12" s="30" customFormat="1" ht="31.2" x14ac:dyDescent="0.3">
      <c r="A2" s="29" t="s">
        <v>28</v>
      </c>
      <c r="B2" s="29" t="s">
        <v>6</v>
      </c>
      <c r="C2" s="30" t="s">
        <v>31</v>
      </c>
      <c r="D2" s="30" t="s">
        <v>43</v>
      </c>
      <c r="E2" s="30" t="s">
        <v>44</v>
      </c>
      <c r="F2" s="30" t="s">
        <v>45</v>
      </c>
      <c r="G2" s="30" t="s">
        <v>84</v>
      </c>
      <c r="H2" s="30" t="s">
        <v>85</v>
      </c>
      <c r="I2" s="30" t="s">
        <v>86</v>
      </c>
    </row>
    <row r="3" spans="1:12" x14ac:dyDescent="0.25">
      <c r="A3" s="2" t="s">
        <v>2</v>
      </c>
      <c r="B3" s="2" t="s">
        <v>2</v>
      </c>
      <c r="C3" s="24">
        <f>'Portfolio Exposure'!H3-'Portfolio Exposure'!G3</f>
        <v>508428.28573949635</v>
      </c>
      <c r="D3" s="24">
        <f>('Portfolio Exposure'!D3-'Portfolio Exposure'!C3)*VLOOKUP($B3&amp;"|0",FwdFX,2,FALSE)</f>
        <v>332748.55159839039</v>
      </c>
      <c r="E3" s="17">
        <f>'Portfolio Exposure'!G3*VLOOKUP($B3,LocalCash,2,FALSE)/12</f>
        <v>-3924.8250000000007</v>
      </c>
      <c r="F3" s="24">
        <f>D3-E3</f>
        <v>336673.3765983904</v>
      </c>
      <c r="G3" s="17">
        <f>(VLOOKUP($B3&amp;"|0",FwdFX,3,FALSE)-VLOOKUP($B3&amp;"|0",FwdFX,2,FALSE))*'Portfolio Exposure'!C3</f>
        <v>170500.00000000009</v>
      </c>
      <c r="H3" s="24">
        <f>G3+E3</f>
        <v>166575.17500000008</v>
      </c>
      <c r="I3" s="24">
        <f>(D3*G3)/'Portfolio Exposure'!G3</f>
        <v>5179.7341411052294</v>
      </c>
      <c r="J3" s="23"/>
      <c r="K3" s="23"/>
    </row>
    <row r="4" spans="1:12" x14ac:dyDescent="0.25">
      <c r="A4" s="2" t="s">
        <v>3</v>
      </c>
      <c r="B4" s="2" t="s">
        <v>3</v>
      </c>
      <c r="C4" s="24">
        <f>'Portfolio Exposure'!H4-'Portfolio Exposure'!G4</f>
        <v>674739.32691499777</v>
      </c>
      <c r="D4" s="24">
        <f>('Portfolio Exposure'!D4-'Portfolio Exposure'!C4)*VLOOKUP($B4&amp;"|0",FwdFX,2,FALSE)</f>
        <v>763739.25817170076</v>
      </c>
      <c r="E4" s="17">
        <f>'Portfolio Exposure'!G4*VLOOKUP($B4,LocalCash,2,FALSE)/12</f>
        <v>-467.57375976060229</v>
      </c>
      <c r="F4" s="24">
        <f>D4-E4</f>
        <v>764206.83193146135</v>
      </c>
      <c r="G4" s="17">
        <f>(VLOOKUP($B4&amp;"|0",FwdFX,3,FALSE)-VLOOKUP($B4&amp;"|0",FwdFX,2,FALSE))*'Portfolio Exposure'!C4</f>
        <v>-83328.687867484376</v>
      </c>
      <c r="H4" s="24">
        <f>G4+E4</f>
        <v>-83796.261627244981</v>
      </c>
      <c r="I4" s="24">
        <f>(D4*G4)/'Portfolio Exposure'!G4</f>
        <v>-5671.2433892175386</v>
      </c>
      <c r="J4" s="23"/>
      <c r="K4" s="23"/>
    </row>
    <row r="5" spans="1:12" x14ac:dyDescent="0.25">
      <c r="A5" s="2" t="s">
        <v>4</v>
      </c>
      <c r="B5" s="2" t="s">
        <v>4</v>
      </c>
      <c r="C5" s="24">
        <f>'Portfolio Exposure'!H5-'Portfolio Exposure'!G5</f>
        <v>668573.59843547083</v>
      </c>
      <c r="D5" s="24">
        <f>('Portfolio Exposure'!D5-'Portfolio Exposure'!C5)*VLOOKUP($B5&amp;"|0",FwdFX,2,FALSE)</f>
        <v>497853.68318122643</v>
      </c>
      <c r="E5" s="17">
        <f>'Portfolio Exposure'!G5*VLOOKUP($B5,LocalCash,2,FALSE)/12</f>
        <v>965.3551500000026</v>
      </c>
      <c r="F5" s="24">
        <f>D5-E5</f>
        <v>496888.32803122641</v>
      </c>
      <c r="G5" s="17">
        <f>(VLOOKUP($B5&amp;"|0",FwdFX,3,FALSE)-VLOOKUP($B5&amp;"|0",FwdFX,2,FALSE))*'Portfolio Exposure'!C5</f>
        <v>163800.00000000795</v>
      </c>
      <c r="H5" s="24">
        <f>G5+E5</f>
        <v>164765.35515000793</v>
      </c>
      <c r="I5" s="24">
        <f>(D5*G5)/'Portfolio Exposure'!G5</f>
        <v>6919.9152542376178</v>
      </c>
      <c r="J5" s="23"/>
      <c r="K5" s="23"/>
    </row>
    <row r="6" spans="1:12" x14ac:dyDescent="0.25">
      <c r="A6" s="2" t="s">
        <v>3</v>
      </c>
      <c r="B6" s="2" t="s">
        <v>8</v>
      </c>
      <c r="C6" s="24">
        <f>'Portfolio Exposure'!H6-'Portfolio Exposure'!G6</f>
        <v>209784.24921517912</v>
      </c>
      <c r="D6" s="24">
        <f>('Portfolio Exposure'!D6-'Portfolio Exposure'!C6)*VLOOKUP($B6&amp;"|0",FwdFX,2,FALSE)</f>
        <v>334470.82368054939</v>
      </c>
      <c r="E6" s="17">
        <f>'Portfolio Exposure'!G6*VLOOKUP($B6,LocalCash,2,FALSE)/12</f>
        <v>4616.5209897820996</v>
      </c>
      <c r="F6" s="24">
        <f>D6-E6</f>
        <v>329854.30269076728</v>
      </c>
      <c r="G6" s="17">
        <f>(VLOOKUP($B6&amp;"|0",FwdFX,3,FALSE)-VLOOKUP($B6&amp;"|0",FwdFX,2,FALSE))*'Portfolio Exposure'!C6</f>
        <v>-119285.13195771039</v>
      </c>
      <c r="H6" s="24">
        <f>G6+E6</f>
        <v>-114668.61096792828</v>
      </c>
      <c r="I6" s="24">
        <f>(D6*G6)/'Portfolio Exposure'!G6</f>
        <v>-5401.4425076595362</v>
      </c>
      <c r="J6" s="23"/>
      <c r="K6" s="23"/>
    </row>
    <row r="7" spans="1:12" x14ac:dyDescent="0.25">
      <c r="A7" s="2" t="s">
        <v>5</v>
      </c>
      <c r="B7" s="2" t="s">
        <v>5</v>
      </c>
      <c r="C7" s="24">
        <f>'Portfolio Exposure'!H7-'Portfolio Exposure'!G7</f>
        <v>631867.5676230751</v>
      </c>
      <c r="D7" s="24">
        <f>('Portfolio Exposure'!D7-'Portfolio Exposure'!C7)*VLOOKUP($B7&amp;"|0",FwdFX,2,FALSE)</f>
        <v>631867.5676230751</v>
      </c>
      <c r="E7" s="17">
        <f>'Portfolio Exposure'!G7*VLOOKUP($B7,LocalCash,2,FALSE)/12</f>
        <v>4125</v>
      </c>
      <c r="F7" s="24">
        <f>D7-E7</f>
        <v>627742.5676230751</v>
      </c>
      <c r="G7" s="17">
        <f>(VLOOKUP($B7&amp;"|0",FwdFX,3,FALSE)-VLOOKUP($B7&amp;"|0",FwdFX,2,FALSE))*'Portfolio Exposure'!C7</f>
        <v>0</v>
      </c>
      <c r="H7" s="24">
        <f>G7+E7</f>
        <v>4125</v>
      </c>
      <c r="I7" s="21"/>
      <c r="J7" s="23"/>
      <c r="K7" s="23"/>
    </row>
    <row r="8" spans="1:12" ht="3" customHeight="1" x14ac:dyDescent="0.25">
      <c r="C8" s="17"/>
      <c r="D8" s="17"/>
      <c r="E8" s="17"/>
      <c r="F8" s="52"/>
      <c r="G8" s="17"/>
      <c r="H8" s="52"/>
      <c r="I8" s="21"/>
    </row>
    <row r="9" spans="1:12" ht="15.6" x14ac:dyDescent="0.3">
      <c r="B9" s="5" t="s">
        <v>10</v>
      </c>
      <c r="C9" s="54">
        <f t="shared" ref="C9:I9" si="0">SUM(C3:C7)</f>
        <v>2693393.0279282192</v>
      </c>
      <c r="D9" s="17">
        <f t="shared" si="0"/>
        <v>2560679.8842549422</v>
      </c>
      <c r="E9" s="17">
        <f t="shared" si="0"/>
        <v>5314.4773800214989</v>
      </c>
      <c r="F9" s="52">
        <f t="shared" si="0"/>
        <v>2555365.4068749207</v>
      </c>
      <c r="G9" s="17">
        <f t="shared" si="0"/>
        <v>131686.18017481326</v>
      </c>
      <c r="H9" s="52">
        <f t="shared" si="0"/>
        <v>137000.65755483476</v>
      </c>
      <c r="I9" s="52">
        <f t="shared" si="0"/>
        <v>1026.9634984657723</v>
      </c>
    </row>
    <row r="10" spans="1:12" x14ac:dyDescent="0.25">
      <c r="C10" s="53">
        <f>F9+H9+I9</f>
        <v>2693393.027928221</v>
      </c>
    </row>
    <row r="11" spans="1:12" s="12" customFormat="1" ht="17.399999999999999" x14ac:dyDescent="0.3">
      <c r="A11" s="11" t="s">
        <v>13</v>
      </c>
      <c r="C11" s="11"/>
    </row>
    <row r="12" spans="1:12" s="31" customFormat="1" ht="31.2" x14ac:dyDescent="0.3">
      <c r="A12" s="1" t="s">
        <v>29</v>
      </c>
      <c r="C12" s="30" t="s">
        <v>31</v>
      </c>
      <c r="D12" s="30" t="s">
        <v>26</v>
      </c>
      <c r="E12" s="30" t="s">
        <v>87</v>
      </c>
      <c r="F12" s="1"/>
      <c r="G12" s="1" t="s">
        <v>47</v>
      </c>
      <c r="H12" s="30" t="s">
        <v>88</v>
      </c>
      <c r="I12" s="30" t="s">
        <v>89</v>
      </c>
      <c r="J12" s="30" t="s">
        <v>90</v>
      </c>
      <c r="K12" s="1" t="s">
        <v>91</v>
      </c>
      <c r="L12" s="1" t="s">
        <v>92</v>
      </c>
    </row>
    <row r="13" spans="1:12" x14ac:dyDescent="0.25">
      <c r="A13" s="2" t="s">
        <v>2</v>
      </c>
      <c r="B13" s="2" t="s">
        <v>2</v>
      </c>
      <c r="C13" s="24">
        <f>'Portfolio Exposure'!H13-'Portfolio Exposure'!G13</f>
        <v>-158955.80869565345</v>
      </c>
      <c r="D13" s="17">
        <f>VLOOKUP(A13,HedgingFwd,24,FALSE)*'Portfolio Exposure'!G13</f>
        <v>7430.4778351321092</v>
      </c>
      <c r="E13" s="19">
        <f>C13-D13</f>
        <v>-166386.28653078555</v>
      </c>
      <c r="G13" s="19">
        <f>'Portfolio Exposure'!J13-'Portfolio Exposure'!G13</f>
        <v>-158955.80869565345</v>
      </c>
      <c r="H13" s="17">
        <f>VLOOKUP(B13,HedgingFwd,24,FALSE)*'Portfolio Exposure'!G13</f>
        <v>7430.4778351321092</v>
      </c>
      <c r="I13" s="19">
        <f>G13-H13</f>
        <v>-166386.28653078555</v>
      </c>
      <c r="J13" s="17">
        <f>D13-H13</f>
        <v>0</v>
      </c>
      <c r="K13" s="17">
        <f>E13-I13</f>
        <v>0</v>
      </c>
      <c r="L13" s="19">
        <f>J13+K13</f>
        <v>0</v>
      </c>
    </row>
    <row r="14" spans="1:12" x14ac:dyDescent="0.25">
      <c r="A14" s="2" t="s">
        <v>3</v>
      </c>
      <c r="B14" s="2" t="s">
        <v>3</v>
      </c>
      <c r="C14" s="24">
        <f>'Portfolio Exposure'!H14-'Portfolio Exposure'!G14</f>
        <v>81539.234415639192</v>
      </c>
      <c r="D14" s="17">
        <f>VLOOKUP(A14,HedgingFwd,24,FALSE)*'Portfolio Exposure'!G14</f>
        <v>48.399922180080196</v>
      </c>
      <c r="E14" s="19">
        <f>C14-D14</f>
        <v>81490.834493459115</v>
      </c>
      <c r="G14" s="19">
        <f>'Portfolio Exposure'!J14-'Portfolio Exposure'!G14</f>
        <v>81539.234415639192</v>
      </c>
      <c r="H14" s="17">
        <f>VLOOKUP(B14,HedgingFwd,24,FALSE)*'Portfolio Exposure'!G14</f>
        <v>48.399922180080196</v>
      </c>
      <c r="I14" s="19">
        <f>G14-H14</f>
        <v>81490.834493459115</v>
      </c>
      <c r="J14" s="17">
        <f t="shared" ref="J14:K16" si="1">D14-H14</f>
        <v>0</v>
      </c>
      <c r="K14" s="17">
        <f t="shared" si="1"/>
        <v>0</v>
      </c>
      <c r="L14" s="19">
        <f>J14+K14</f>
        <v>0</v>
      </c>
    </row>
    <row r="15" spans="1:12" x14ac:dyDescent="0.25">
      <c r="A15" s="2" t="s">
        <v>4</v>
      </c>
      <c r="B15" s="2" t="s">
        <v>4</v>
      </c>
      <c r="C15" s="24">
        <f>'Portfolio Exposure'!H15-'Portfolio Exposure'!G15</f>
        <v>-165692.34782605991</v>
      </c>
      <c r="D15" s="17">
        <f>VLOOKUP(A15,HedgingFwd,24,FALSE)*'Portfolio Exposure'!G15</f>
        <v>827.59340870879487</v>
      </c>
      <c r="E15" s="19">
        <f>C15-D15</f>
        <v>-166519.94123476869</v>
      </c>
      <c r="G15" s="19">
        <f>'Portfolio Exposure'!J15-'Portfolio Exposure'!G15</f>
        <v>-165692.34782605991</v>
      </c>
      <c r="H15" s="17">
        <f>VLOOKUP(B15,HedgingFwd,24,FALSE)*'Portfolio Exposure'!G15</f>
        <v>827.59340870879487</v>
      </c>
      <c r="I15" s="19">
        <f>G15-H15</f>
        <v>-166519.94123476869</v>
      </c>
      <c r="J15" s="17">
        <f t="shared" si="1"/>
        <v>0</v>
      </c>
      <c r="K15" s="17">
        <f t="shared" si="1"/>
        <v>0</v>
      </c>
      <c r="L15" s="19">
        <f>J15+K15</f>
        <v>0</v>
      </c>
    </row>
    <row r="16" spans="1:12" x14ac:dyDescent="0.25">
      <c r="A16" s="2" t="s">
        <v>8</v>
      </c>
      <c r="B16" s="2" t="s">
        <v>3</v>
      </c>
      <c r="C16" s="24">
        <f>'Portfolio Exposure'!H16-'Portfolio Exposure'!G16</f>
        <v>55594.932556117885</v>
      </c>
      <c r="D16" s="17">
        <f>VLOOKUP(A16,HedgingFwd,24,FALSE)*'Portfolio Exposure'!G16</f>
        <v>3.8693417253515929</v>
      </c>
      <c r="E16" s="19">
        <f>C16-D16</f>
        <v>55591.063214392532</v>
      </c>
      <c r="G16" s="19">
        <f>'Portfolio Exposure'!J16-'Portfolio Exposure'!G16</f>
        <v>120023.16703853011</v>
      </c>
      <c r="H16" s="17">
        <f>VLOOKUP(B16,HedgingFwd,24,FALSE)*'Portfolio Exposure'!G16</f>
        <v>32.999946940963774</v>
      </c>
      <c r="I16" s="19">
        <f>G16-H16</f>
        <v>119990.16709158914</v>
      </c>
      <c r="J16" s="17">
        <f t="shared" si="1"/>
        <v>-29.130605215612182</v>
      </c>
      <c r="K16" s="17">
        <f t="shared" si="1"/>
        <v>-64399.103877196612</v>
      </c>
      <c r="L16" s="19">
        <f>J16+K16</f>
        <v>-64428.234482412226</v>
      </c>
    </row>
    <row r="17" spans="1:12" ht="6" customHeight="1" x14ac:dyDescent="0.25">
      <c r="C17" s="21"/>
      <c r="D17" s="17"/>
      <c r="H17" s="17"/>
      <c r="I17" s="17"/>
      <c r="J17" s="17"/>
    </row>
    <row r="18" spans="1:12" ht="15.6" x14ac:dyDescent="0.3">
      <c r="B18" s="5" t="s">
        <v>10</v>
      </c>
      <c r="C18" s="53">
        <f>SUM(C13:C16)</f>
        <v>-187513.98954995628</v>
      </c>
      <c r="D18" s="22">
        <f>SUM(D13:D16)</f>
        <v>8310.3405077463358</v>
      </c>
      <c r="E18" s="22">
        <f>SUM(E13:E16)</f>
        <v>-195824.33005770261</v>
      </c>
      <c r="G18" s="22">
        <f t="shared" ref="G18:L18" si="2">SUM(G13:G16)</f>
        <v>-123085.75506754406</v>
      </c>
      <c r="H18" s="73">
        <f t="shared" si="2"/>
        <v>8339.4711129619482</v>
      </c>
      <c r="I18" s="73">
        <f t="shared" si="2"/>
        <v>-131425.226180506</v>
      </c>
      <c r="J18" s="73">
        <f t="shared" si="2"/>
        <v>-29.130605215612182</v>
      </c>
      <c r="K18" s="73">
        <f t="shared" si="2"/>
        <v>-64399.103877196612</v>
      </c>
      <c r="L18" s="22">
        <f t="shared" si="2"/>
        <v>-64428.234482412226</v>
      </c>
    </row>
    <row r="19" spans="1:12" x14ac:dyDescent="0.25">
      <c r="C19" s="53">
        <f>K18+J18+I18+H18</f>
        <v>-187513.98954995628</v>
      </c>
      <c r="D19" s="17"/>
    </row>
    <row r="20" spans="1:12" ht="17.399999999999999" x14ac:dyDescent="0.3">
      <c r="A20" s="11"/>
      <c r="C20" s="21"/>
      <c r="D20" s="17"/>
    </row>
    <row r="21" spans="1:12" ht="17.399999999999999" x14ac:dyDescent="0.3">
      <c r="A21" s="11" t="s">
        <v>10</v>
      </c>
      <c r="C21" s="53">
        <f>C18+C9</f>
        <v>2505879.0383782629</v>
      </c>
      <c r="F21" s="19"/>
      <c r="G21" s="19"/>
      <c r="H21" s="19"/>
    </row>
    <row r="22" spans="1:12" x14ac:dyDescent="0.25">
      <c r="C22" s="53">
        <f>C10+C19</f>
        <v>2505879.0383782648</v>
      </c>
    </row>
    <row r="24" spans="1:12" ht="17.399999999999999" x14ac:dyDescent="0.3">
      <c r="A24" s="11"/>
      <c r="B24" s="12" t="s">
        <v>83</v>
      </c>
      <c r="C24" s="11"/>
    </row>
  </sheetData>
  <mergeCells count="3">
    <mergeCell ref="C1:D1"/>
    <mergeCell ref="F1:G1"/>
    <mergeCell ref="J1:K1"/>
  </mergeCells>
  <phoneticPr fontId="8"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D20D-F3B0-4548-BBA6-52443AF23278}">
  <dimension ref="A1:V28"/>
  <sheetViews>
    <sheetView workbookViewId="0">
      <selection activeCell="H25" sqref="H25"/>
    </sheetView>
  </sheetViews>
  <sheetFormatPr defaultColWidth="9.109375" defaultRowHeight="15" x14ac:dyDescent="0.25"/>
  <cols>
    <col min="1" max="1" width="15.5546875" style="2" customWidth="1"/>
    <col min="2" max="2" width="13.88671875" style="2" customWidth="1"/>
    <col min="3" max="3" width="16.5546875" style="2" customWidth="1"/>
    <col min="4" max="5" width="20" style="2" customWidth="1"/>
    <col min="6" max="8" width="20.44140625" style="2" customWidth="1"/>
    <col min="9" max="9" width="23.88671875" style="2" customWidth="1"/>
    <col min="10" max="10" width="20.44140625" style="2" customWidth="1"/>
    <col min="11" max="11" width="18.109375" style="2" customWidth="1"/>
    <col min="12" max="12" width="18.44140625" style="2" customWidth="1"/>
    <col min="13" max="14" width="9.109375" style="2"/>
    <col min="15" max="15" width="10" style="2" bestFit="1" customWidth="1"/>
    <col min="16" max="16" width="11" style="2" customWidth="1"/>
    <col min="17" max="18" width="9.109375" style="2"/>
    <col min="19" max="19" width="9.6640625" style="2" bestFit="1" customWidth="1"/>
    <col min="20" max="16384" width="9.109375" style="2"/>
  </cols>
  <sheetData>
    <row r="1" spans="1:22" s="12" customFormat="1" ht="17.399999999999999" x14ac:dyDescent="0.3">
      <c r="A1" s="11" t="s">
        <v>109</v>
      </c>
      <c r="C1" s="76"/>
      <c r="D1" s="76"/>
      <c r="F1" s="79"/>
      <c r="G1" s="79"/>
      <c r="H1" s="33"/>
      <c r="J1" s="79"/>
      <c r="K1" s="79"/>
    </row>
    <row r="2" spans="1:22" s="30" customFormat="1" ht="31.2" x14ac:dyDescent="0.3">
      <c r="A2" s="29" t="s">
        <v>28</v>
      </c>
      <c r="B2" s="29" t="s">
        <v>6</v>
      </c>
      <c r="C2" s="30" t="s">
        <v>95</v>
      </c>
      <c r="D2" s="30" t="s">
        <v>96</v>
      </c>
      <c r="E2" s="30" t="s">
        <v>97</v>
      </c>
      <c r="F2" s="30" t="s">
        <v>98</v>
      </c>
      <c r="G2" s="30" t="s">
        <v>99</v>
      </c>
      <c r="H2" s="30" t="s">
        <v>100</v>
      </c>
      <c r="I2" s="30" t="s">
        <v>101</v>
      </c>
    </row>
    <row r="3" spans="1:22" x14ac:dyDescent="0.25">
      <c r="A3" s="2" t="s">
        <v>2</v>
      </c>
      <c r="B3" s="2" t="s">
        <v>2</v>
      </c>
      <c r="C3" s="55">
        <f>'P&amp;L Decomposition'!C3/('Portfolio Exposure'!$G$9+'P&amp;L Decomposition'!$C$18)</f>
        <v>9.0534859108686166E-3</v>
      </c>
      <c r="D3" s="55">
        <f>'P&amp;L Decomposition'!D3/('Portfolio Exposure'!$G$9+'P&amp;L Decomposition'!$C$18)</f>
        <v>5.9251902544649139E-3</v>
      </c>
      <c r="E3" s="55">
        <f>'P&amp;L Decomposition'!E3/('Portfolio Exposure'!$G$9+'P&amp;L Decomposition'!$C$18)</f>
        <v>-6.9888613275011929E-5</v>
      </c>
      <c r="F3" s="55">
        <f>'P&amp;L Decomposition'!F3/('Portfolio Exposure'!$G$9+'P&amp;L Decomposition'!$C$18)</f>
        <v>5.995078867739926E-3</v>
      </c>
      <c r="G3" s="55">
        <f>'P&amp;L Decomposition'!G3/('Portfolio Exposure'!$G$9+'P&amp;L Decomposition'!$C$18)</f>
        <v>3.0360611144164486E-3</v>
      </c>
      <c r="H3" s="65">
        <f>'P&amp;L Decomposition'!H3/('Portfolio Exposure'!$G$9+'P&amp;L Decomposition'!$C$18)</f>
        <v>2.9661725011414365E-3</v>
      </c>
      <c r="I3" s="55">
        <f>'P&amp;L Decomposition'!I3/('Portfolio Exposure'!$G$9+'P&amp;L Decomposition'!$C$18)</f>
        <v>9.2234541987242587E-5</v>
      </c>
      <c r="J3" s="61"/>
      <c r="K3" s="61"/>
      <c r="L3" s="23"/>
      <c r="O3" s="61"/>
      <c r="P3" s="61"/>
      <c r="Q3" s="61"/>
      <c r="R3" s="61"/>
      <c r="S3" s="61"/>
      <c r="T3" s="61"/>
      <c r="U3" s="61"/>
      <c r="V3" s="61"/>
    </row>
    <row r="4" spans="1:22" x14ac:dyDescent="0.25">
      <c r="A4" s="2" t="s">
        <v>3</v>
      </c>
      <c r="B4" s="2" t="s">
        <v>3</v>
      </c>
      <c r="C4" s="55">
        <f>'P&amp;L Decomposition'!C4/('Portfolio Exposure'!$G$9+'P&amp;L Decomposition'!$C$18)</f>
        <v>1.2014955031168045E-2</v>
      </c>
      <c r="D4" s="55">
        <f>'P&amp;L Decomposition'!D4/('Portfolio Exposure'!$G$9+'P&amp;L Decomposition'!$C$18)</f>
        <v>1.3599759901984542E-2</v>
      </c>
      <c r="E4" s="55">
        <f>'P&amp;L Decomposition'!E4/('Portfolio Exposure'!$G$9+'P&amp;L Decomposition'!$C$18)</f>
        <v>-8.3259971268660551E-6</v>
      </c>
      <c r="F4" s="55">
        <f>'P&amp;L Decomposition'!F4/('Portfolio Exposure'!$G$9+'P&amp;L Decomposition'!$C$18)</f>
        <v>1.3608085899111408E-2</v>
      </c>
      <c r="G4" s="55">
        <f>'P&amp;L Decomposition'!G4/('Portfolio Exposure'!$G$9+'P&amp;L Decomposition'!$C$18)</f>
        <v>-1.4838181170077119E-3</v>
      </c>
      <c r="H4" s="65">
        <f>'P&amp;L Decomposition'!H4/('Portfolio Exposure'!$G$9+'P&amp;L Decomposition'!$C$18)</f>
        <v>-1.492144114134578E-3</v>
      </c>
      <c r="I4" s="55">
        <f>'P&amp;L Decomposition'!I4/('Portfolio Exposure'!$G$9+'P&amp;L Decomposition'!$C$18)</f>
        <v>-1.0098675380876663E-4</v>
      </c>
      <c r="J4" s="61"/>
      <c r="K4" s="61"/>
      <c r="L4" s="23"/>
      <c r="O4" s="61"/>
      <c r="P4" s="61"/>
      <c r="Q4" s="61"/>
      <c r="R4" s="61"/>
      <c r="S4" s="61"/>
      <c r="T4" s="61"/>
      <c r="U4" s="61"/>
      <c r="V4" s="61"/>
    </row>
    <row r="5" spans="1:22" x14ac:dyDescent="0.25">
      <c r="A5" s="2" t="s">
        <v>4</v>
      </c>
      <c r="B5" s="2" t="s">
        <v>4</v>
      </c>
      <c r="C5" s="55">
        <f>'P&amp;L Decomposition'!C5/('Portfolio Exposure'!$G$9+'P&amp;L Decomposition'!$C$18)</f>
        <v>1.1905163075280997E-2</v>
      </c>
      <c r="D5" s="55">
        <f>'P&amp;L Decomposition'!D5/('Portfolio Exposure'!$G$9+'P&amp;L Decomposition'!$C$18)</f>
        <v>8.8651859717039719E-3</v>
      </c>
      <c r="E5" s="55">
        <f>'P&amp;L Decomposition'!E5/('Portfolio Exposure'!$G$9+'P&amp;L Decomposition'!$C$18)</f>
        <v>1.7189895791886595E-5</v>
      </c>
      <c r="F5" s="55">
        <f>'P&amp;L Decomposition'!F5/('Portfolio Exposure'!$G$9+'P&amp;L Decomposition'!$C$18)</f>
        <v>8.8479960759120842E-3</v>
      </c>
      <c r="G5" s="55">
        <f>'P&amp;L Decomposition'!G5/('Portfolio Exposure'!$G$9+'P&amp;L Decomposition'!$C$18)</f>
        <v>2.9167554870465581E-3</v>
      </c>
      <c r="H5" s="65">
        <f>'P&amp;L Decomposition'!H5/('Portfolio Exposure'!$G$9+'P&amp;L Decomposition'!$C$18)</f>
        <v>2.9339453828384444E-3</v>
      </c>
      <c r="I5" s="55">
        <f>'P&amp;L Decomposition'!I5/('Portfolio Exposure'!$G$9+'P&amp;L Decomposition'!$C$18)</f>
        <v>1.23221616530487E-4</v>
      </c>
      <c r="J5" s="61"/>
      <c r="K5" s="61"/>
      <c r="L5" s="23"/>
      <c r="O5" s="61"/>
      <c r="P5" s="61"/>
      <c r="Q5" s="61"/>
      <c r="R5" s="61"/>
      <c r="S5" s="61"/>
      <c r="T5" s="61"/>
      <c r="U5" s="61"/>
      <c r="V5" s="61"/>
    </row>
    <row r="6" spans="1:22" x14ac:dyDescent="0.25">
      <c r="A6" s="2" t="s">
        <v>3</v>
      </c>
      <c r="B6" s="2" t="s">
        <v>8</v>
      </c>
      <c r="C6" s="55">
        <f>'P&amp;L Decomposition'!C6/('Portfolio Exposure'!$G$9+'P&amp;L Decomposition'!$C$18)</f>
        <v>3.7355882783533982E-3</v>
      </c>
      <c r="D6" s="55">
        <f>'P&amp;L Decomposition'!D6/('Portfolio Exposure'!$G$9+'P&amp;L Decomposition'!$C$18)</f>
        <v>5.9558584262953415E-3</v>
      </c>
      <c r="E6" s="55">
        <f>'P&amp;L Decomposition'!E6/('Portfolio Exposure'!$G$9+'P&amp;L Decomposition'!$C$18)</f>
        <v>8.2205512381024995E-5</v>
      </c>
      <c r="F6" s="55">
        <f>'P&amp;L Decomposition'!F6/('Portfolio Exposure'!$G$9+'P&amp;L Decomposition'!$C$18)</f>
        <v>5.8736529139143167E-3</v>
      </c>
      <c r="G6" s="55">
        <f>'P&amp;L Decomposition'!G6/('Portfolio Exposure'!$G$9+'P&amp;L Decomposition'!$C$18)</f>
        <v>-2.1240876871838075E-3</v>
      </c>
      <c r="H6" s="65">
        <f>'P&amp;L Decomposition'!H6/('Portfolio Exposure'!$G$9+'P&amp;L Decomposition'!$C$18)</f>
        <v>-2.0418821748027821E-3</v>
      </c>
      <c r="I6" s="55">
        <f>'P&amp;L Decomposition'!I6/('Portfolio Exposure'!$G$9+'P&amp;L Decomposition'!$C$18)</f>
        <v>-9.618246075813009E-5</v>
      </c>
      <c r="J6" s="61"/>
      <c r="K6" s="61"/>
      <c r="L6" s="23"/>
      <c r="O6" s="61"/>
      <c r="P6" s="61"/>
      <c r="Q6" s="61"/>
      <c r="R6" s="61"/>
      <c r="S6" s="61"/>
      <c r="T6" s="61"/>
      <c r="U6" s="61"/>
      <c r="V6" s="61"/>
    </row>
    <row r="7" spans="1:22" x14ac:dyDescent="0.25">
      <c r="A7" s="2" t="s">
        <v>5</v>
      </c>
      <c r="B7" s="2" t="s">
        <v>5</v>
      </c>
      <c r="C7" s="55">
        <f>'P&amp;L Decomposition'!C7/('Portfolio Exposure'!$G$9+'P&amp;L Decomposition'!$C$18)</f>
        <v>1.1251545756723304E-2</v>
      </c>
      <c r="D7" s="55">
        <f>'P&amp;L Decomposition'!D7/('Portfolio Exposure'!$G$9+'P&amp;L Decomposition'!$C$18)</f>
        <v>1.1251545756723304E-2</v>
      </c>
      <c r="E7" s="55">
        <f>'P&amp;L Decomposition'!E7/('Portfolio Exposure'!$G$9+'P&amp;L Decomposition'!$C$18)</f>
        <v>7.3453091477817268E-5</v>
      </c>
      <c r="F7" s="55">
        <f>'P&amp;L Decomposition'!F7/('Portfolio Exposure'!$G$9+'P&amp;L Decomposition'!$C$18)</f>
        <v>1.1178092665245486E-2</v>
      </c>
      <c r="G7" s="55">
        <f>'P&amp;L Decomposition'!G7/('Portfolio Exposure'!$G$9+'P&amp;L Decomposition'!$C$18)</f>
        <v>0</v>
      </c>
      <c r="H7" s="65">
        <f>'P&amp;L Decomposition'!H7/('Portfolio Exposure'!$G$9+'P&amp;L Decomposition'!$C$18)</f>
        <v>7.3453091477817268E-5</v>
      </c>
      <c r="I7" s="55">
        <f>'P&amp;L Decomposition'!I7/('Portfolio Exposure'!$G$9+'P&amp;L Decomposition'!$C$18)</f>
        <v>0</v>
      </c>
      <c r="J7" s="61"/>
      <c r="K7" s="61"/>
      <c r="L7" s="23"/>
      <c r="O7" s="61"/>
      <c r="P7" s="61"/>
      <c r="Q7" s="61"/>
      <c r="R7" s="61"/>
      <c r="S7" s="61"/>
      <c r="T7" s="61"/>
      <c r="U7" s="61"/>
      <c r="V7" s="61"/>
    </row>
    <row r="8" spans="1:22" ht="3" customHeight="1" x14ac:dyDescent="0.25">
      <c r="C8" s="55">
        <f>'P&amp;L Decomposition'!C8/('Portfolio Exposure'!$G$9+'P&amp;L Decomposition'!$C$18)</f>
        <v>0</v>
      </c>
      <c r="D8" s="55">
        <f>'P&amp;L Decomposition'!D8/('Portfolio Exposure'!$G$9+'P&amp;L Decomposition'!$C$18)</f>
        <v>0</v>
      </c>
      <c r="E8" s="55">
        <f>'P&amp;L Decomposition'!E8/('Portfolio Exposure'!$G$9+'P&amp;L Decomposition'!$C$18)</f>
        <v>0</v>
      </c>
      <c r="F8" s="60">
        <f>'P&amp;L Decomposition'!F8/('Portfolio Exposure'!$G$9+'P&amp;L Decomposition'!$C$18)</f>
        <v>0</v>
      </c>
      <c r="G8" s="55">
        <f>'P&amp;L Decomposition'!G8/('Portfolio Exposure'!$G$9+'P&amp;L Decomposition'!$C$18)</f>
        <v>0</v>
      </c>
      <c r="H8" s="64">
        <f>'P&amp;L Decomposition'!H8/('Portfolio Exposure'!$G$9+'P&amp;L Decomposition'!$C$18)</f>
        <v>0</v>
      </c>
      <c r="I8" s="60">
        <f>'P&amp;L Decomposition'!I8/('Portfolio Exposure'!$G$9+'P&amp;L Decomposition'!$C$18)</f>
        <v>0</v>
      </c>
      <c r="J8" s="23"/>
      <c r="K8" s="23"/>
      <c r="L8" s="23"/>
    </row>
    <row r="9" spans="1:22" ht="15.6" x14ac:dyDescent="0.3">
      <c r="B9" s="5" t="s">
        <v>10</v>
      </c>
      <c r="C9" s="71">
        <f t="shared" ref="C9:I9" si="0">SUM(C3:C7)</f>
        <v>4.7960738052394362E-2</v>
      </c>
      <c r="D9" s="55">
        <f t="shared" si="0"/>
        <v>4.5597540311172073E-2</v>
      </c>
      <c r="E9" s="55">
        <f t="shared" si="0"/>
        <v>9.4633889248850865E-5</v>
      </c>
      <c r="F9" s="60">
        <f t="shared" si="0"/>
        <v>4.5502906421923221E-2</v>
      </c>
      <c r="G9" s="55">
        <f t="shared" si="0"/>
        <v>2.3449107972714871E-3</v>
      </c>
      <c r="H9" s="64">
        <f t="shared" si="0"/>
        <v>2.4395446865203381E-3</v>
      </c>
      <c r="I9" s="60">
        <f t="shared" si="0"/>
        <v>1.8286943950832871E-5</v>
      </c>
      <c r="J9" s="61"/>
      <c r="K9" s="61"/>
      <c r="L9" s="61"/>
      <c r="O9" s="61"/>
      <c r="P9" s="61"/>
      <c r="Q9" s="61"/>
      <c r="R9" s="61"/>
      <c r="S9" s="61"/>
      <c r="T9" s="61"/>
      <c r="U9" s="61"/>
      <c r="V9" s="61"/>
    </row>
    <row r="10" spans="1:22" x14ac:dyDescent="0.25">
      <c r="C10" s="71">
        <f>F9+H9+I9</f>
        <v>4.796073805239439E-2</v>
      </c>
      <c r="D10" s="55"/>
      <c r="E10" s="55"/>
      <c r="F10" s="55"/>
      <c r="G10" s="55"/>
      <c r="H10" s="55"/>
      <c r="I10" s="55"/>
      <c r="J10" s="55"/>
      <c r="K10" s="55"/>
      <c r="L10" s="23"/>
    </row>
    <row r="11" spans="1:22" s="12" customFormat="1" ht="17.399999999999999" x14ac:dyDescent="0.3">
      <c r="A11" s="11" t="s">
        <v>13</v>
      </c>
      <c r="C11" s="56"/>
      <c r="D11" s="57"/>
      <c r="E11" s="57"/>
      <c r="F11" s="57"/>
      <c r="G11" s="57"/>
      <c r="H11" s="57"/>
      <c r="I11" s="57"/>
      <c r="J11" s="57"/>
      <c r="K11" s="57"/>
      <c r="L11" s="58"/>
      <c r="O11" s="62"/>
    </row>
    <row r="12" spans="1:22" s="31" customFormat="1" ht="31.2" x14ac:dyDescent="0.3">
      <c r="A12" s="1" t="s">
        <v>29</v>
      </c>
      <c r="C12" s="59" t="s">
        <v>95</v>
      </c>
      <c r="D12" s="59" t="s">
        <v>102</v>
      </c>
      <c r="E12" s="59" t="s">
        <v>103</v>
      </c>
      <c r="F12" s="74"/>
      <c r="G12" s="74" t="s">
        <v>104</v>
      </c>
      <c r="H12" s="59" t="s">
        <v>105</v>
      </c>
      <c r="I12" s="59" t="s">
        <v>106</v>
      </c>
      <c r="J12" s="59" t="s">
        <v>93</v>
      </c>
      <c r="K12" s="74" t="s">
        <v>107</v>
      </c>
      <c r="L12" s="75" t="s">
        <v>108</v>
      </c>
    </row>
    <row r="13" spans="1:22" x14ac:dyDescent="0.25">
      <c r="A13" s="2" t="s">
        <v>2</v>
      </c>
      <c r="B13" s="2" t="s">
        <v>2</v>
      </c>
      <c r="C13" s="65">
        <f>'P&amp;L Decomposition'!C13/('Portfolio Exposure'!$G$9+'P&amp;L Decomposition'!$C$18)</f>
        <v>-2.8304958926187286E-3</v>
      </c>
      <c r="D13" s="55">
        <f>'P&amp;L Decomposition'!D13/('Portfolio Exposure'!$G$9+'P&amp;L Decomposition'!$C$18)</f>
        <v>1.3231310742978241E-4</v>
      </c>
      <c r="E13" s="55">
        <f>'P&amp;L Decomposition'!E13/('Portfolio Exposure'!$G$9+'P&amp;L Decomposition'!$C$18)</f>
        <v>-2.9628090000485105E-3</v>
      </c>
      <c r="F13" s="55"/>
      <c r="G13" s="55">
        <f>'P&amp;L Decomposition'!G13/('Portfolio Exposure'!$G$9+'P&amp;L Decomposition'!$C$18)</f>
        <v>-2.8304958926187286E-3</v>
      </c>
      <c r="H13" s="65">
        <f>'P&amp;L Decomposition'!H13/('Portfolio Exposure'!$G$9+'P&amp;L Decomposition'!$C$18)</f>
        <v>1.3231310742978241E-4</v>
      </c>
      <c r="I13" s="65">
        <f>'P&amp;L Decomposition'!I13/('Portfolio Exposure'!$G$9+'P&amp;L Decomposition'!$C$18)</f>
        <v>-2.9628090000485105E-3</v>
      </c>
      <c r="J13" s="65">
        <f>'P&amp;L Decomposition'!J13/('Portfolio Exposure'!$G$9+'P&amp;L Decomposition'!$C$18)</f>
        <v>0</v>
      </c>
      <c r="K13" s="65">
        <f>'P&amp;L Decomposition'!K13/('Portfolio Exposure'!$G$9+'P&amp;L Decomposition'!$C$18)</f>
        <v>0</v>
      </c>
      <c r="L13" s="55">
        <f>'P&amp;L Decomposition'!L13/('Portfolio Exposure'!$G$9+'P&amp;L Decomposition'!$C$18)</f>
        <v>0</v>
      </c>
    </row>
    <row r="14" spans="1:22" x14ac:dyDescent="0.25">
      <c r="A14" s="2" t="s">
        <v>3</v>
      </c>
      <c r="B14" s="2" t="s">
        <v>3</v>
      </c>
      <c r="C14" s="65">
        <f>'P&amp;L Decomposition'!C14/('Portfolio Exposure'!$G$9+'P&amp;L Decomposition'!$C$18)</f>
        <v>1.4519536592880319E-3</v>
      </c>
      <c r="D14" s="55">
        <f>'P&amp;L Decomposition'!D14/('Portfolio Exposure'!$G$9+'P&amp;L Decomposition'!$C$18)</f>
        <v>8.6184822094852555E-7</v>
      </c>
      <c r="E14" s="55">
        <f>'P&amp;L Decomposition'!E14/('Portfolio Exposure'!$G$9+'P&amp;L Decomposition'!$C$18)</f>
        <v>1.4510918110670836E-3</v>
      </c>
      <c r="F14" s="55"/>
      <c r="G14" s="55">
        <f>'P&amp;L Decomposition'!G14/('Portfolio Exposure'!$G$9+'P&amp;L Decomposition'!$C$18)</f>
        <v>1.4519536592880319E-3</v>
      </c>
      <c r="H14" s="65">
        <f>'P&amp;L Decomposition'!H14/('Portfolio Exposure'!$G$9+'P&amp;L Decomposition'!$C$18)</f>
        <v>8.6184822094852555E-7</v>
      </c>
      <c r="I14" s="65">
        <f>'P&amp;L Decomposition'!I14/('Portfolio Exposure'!$G$9+'P&amp;L Decomposition'!$C$18)</f>
        <v>1.4510918110670836E-3</v>
      </c>
      <c r="J14" s="65">
        <f>'P&amp;L Decomposition'!J14/('Portfolio Exposure'!$G$9+'P&amp;L Decomposition'!$C$18)</f>
        <v>0</v>
      </c>
      <c r="K14" s="65">
        <f>'P&amp;L Decomposition'!K14/('Portfolio Exposure'!$G$9+'P&amp;L Decomposition'!$C$18)</f>
        <v>0</v>
      </c>
      <c r="L14" s="55">
        <f>'P&amp;L Decomposition'!L14/('Portfolio Exposure'!$G$9+'P&amp;L Decomposition'!$C$18)</f>
        <v>0</v>
      </c>
    </row>
    <row r="15" spans="1:22" x14ac:dyDescent="0.25">
      <c r="A15" s="2" t="s">
        <v>4</v>
      </c>
      <c r="B15" s="2" t="s">
        <v>4</v>
      </c>
      <c r="C15" s="65">
        <f>'P&amp;L Decomposition'!C15/('Portfolio Exposure'!$G$9+'P&amp;L Decomposition'!$C$18)</f>
        <v>-2.9504521653434899E-3</v>
      </c>
      <c r="D15" s="55">
        <f>'P&amp;L Decomposition'!D15/('Portfolio Exposure'!$G$9+'P&amp;L Decomposition'!$C$18)</f>
        <v>1.473679863183654E-5</v>
      </c>
      <c r="E15" s="55">
        <f>'P&amp;L Decomposition'!E15/('Portfolio Exposure'!$G$9+'P&amp;L Decomposition'!$C$18)</f>
        <v>-2.9651889639753263E-3</v>
      </c>
      <c r="F15" s="55"/>
      <c r="G15" s="55">
        <f>'P&amp;L Decomposition'!G15/('Portfolio Exposure'!$G$9+'P&amp;L Decomposition'!$C$18)</f>
        <v>-2.9504521653434899E-3</v>
      </c>
      <c r="H15" s="65">
        <f>'P&amp;L Decomposition'!H15/('Portfolio Exposure'!$G$9+'P&amp;L Decomposition'!$C$18)</f>
        <v>1.473679863183654E-5</v>
      </c>
      <c r="I15" s="65">
        <f>'P&amp;L Decomposition'!I15/('Portfolio Exposure'!$G$9+'P&amp;L Decomposition'!$C$18)</f>
        <v>-2.9651889639753263E-3</v>
      </c>
      <c r="J15" s="65">
        <f>'P&amp;L Decomposition'!J15/('Portfolio Exposure'!$G$9+'P&amp;L Decomposition'!$C$18)</f>
        <v>0</v>
      </c>
      <c r="K15" s="65">
        <f>'P&amp;L Decomposition'!K15/('Portfolio Exposure'!$G$9+'P&amp;L Decomposition'!$C$18)</f>
        <v>0</v>
      </c>
      <c r="L15" s="55">
        <f>'P&amp;L Decomposition'!L15/('Portfolio Exposure'!$G$9+'P&amp;L Decomposition'!$C$18)</f>
        <v>0</v>
      </c>
    </row>
    <row r="16" spans="1:22" x14ac:dyDescent="0.25">
      <c r="A16" s="2" t="s">
        <v>8</v>
      </c>
      <c r="B16" s="2" t="s">
        <v>3</v>
      </c>
      <c r="C16" s="65">
        <f>'P&amp;L Decomposition'!C16/('Portfolio Exposure'!$G$9+'P&amp;L Decomposition'!$C$18)</f>
        <v>9.8996840406002625E-4</v>
      </c>
      <c r="D16" s="55">
        <f>'P&amp;L Decomposition'!D16/('Portfolio Exposure'!$G$9+'P&amp;L Decomposition'!$C$18)</f>
        <v>6.8900633142105667E-8</v>
      </c>
      <c r="E16" s="55">
        <f>'P&amp;L Decomposition'!E16/('Portfolio Exposure'!$G$9+'P&amp;L Decomposition'!$C$18)</f>
        <v>9.8989950342688419E-4</v>
      </c>
      <c r="F16" s="55"/>
      <c r="G16" s="55">
        <f>'P&amp;L Decomposition'!G16/('Portfolio Exposure'!$G$9+'P&amp;L Decomposition'!$C$18)</f>
        <v>2.1372297376820591E-3</v>
      </c>
      <c r="H16" s="65">
        <f>'P&amp;L Decomposition'!H16/('Portfolio Exposure'!$G$9+'P&amp;L Decomposition'!$C$18)</f>
        <v>5.8762378701035836E-7</v>
      </c>
      <c r="I16" s="65">
        <f>'P&amp;L Decomposition'!I16/('Portfolio Exposure'!$G$9+'P&amp;L Decomposition'!$C$18)</f>
        <v>2.136642113895049E-3</v>
      </c>
      <c r="J16" s="65">
        <f>'P&amp;L Decomposition'!J16/('Portfolio Exposure'!$G$9+'P&amp;L Decomposition'!$C$18)</f>
        <v>-5.1872315386825274E-7</v>
      </c>
      <c r="K16" s="65">
        <f>'P&amp;L Decomposition'!K16/('Portfolio Exposure'!$G$9+'P&amp;L Decomposition'!$C$18)</f>
        <v>-1.1467426104681648E-3</v>
      </c>
      <c r="L16" s="55">
        <f>'P&amp;L Decomposition'!L16/('Portfolio Exposure'!$G$9+'P&amp;L Decomposition'!$C$18)</f>
        <v>-1.1472613336220331E-3</v>
      </c>
    </row>
    <row r="17" spans="1:12" ht="6" customHeight="1" x14ac:dyDescent="0.25">
      <c r="C17" s="65"/>
      <c r="D17" s="55"/>
      <c r="E17" s="55"/>
      <c r="F17" s="55"/>
      <c r="G17" s="55"/>
      <c r="H17" s="64"/>
      <c r="I17" s="64"/>
      <c r="J17" s="64"/>
      <c r="K17" s="64"/>
      <c r="L17" s="55"/>
    </row>
    <row r="18" spans="1:12" ht="15.6" x14ac:dyDescent="0.3">
      <c r="B18" s="5" t="s">
        <v>10</v>
      </c>
      <c r="C18" s="72">
        <f>'P&amp;L Decomposition'!C18/('Portfolio Exposure'!$G$9+'P&amp;L Decomposition'!$C$18)</f>
        <v>-3.3390259946141599E-3</v>
      </c>
      <c r="D18" s="55">
        <f>'P&amp;L Decomposition'!D18/('Portfolio Exposure'!$G$9+'P&amp;L Decomposition'!$C$18)</f>
        <v>1.4798065491570958E-4</v>
      </c>
      <c r="E18" s="55">
        <f>'P&amp;L Decomposition'!E18/('Portfolio Exposure'!$G$9+'P&amp;L Decomposition'!$C$18)</f>
        <v>-3.4870066495298695E-3</v>
      </c>
      <c r="F18" s="55"/>
      <c r="G18" s="55">
        <f>'P&amp;L Decomposition'!G18/('Portfolio Exposure'!$G$9+'P&amp;L Decomposition'!$C$18)</f>
        <v>-2.191764660992127E-3</v>
      </c>
      <c r="H18" s="64">
        <f>'P&amp;L Decomposition'!H18/('Portfolio Exposure'!$G$9+'P&amp;L Decomposition'!$C$18)</f>
        <v>1.4849937806957783E-4</v>
      </c>
      <c r="I18" s="64">
        <f>'P&amp;L Decomposition'!I18/('Portfolio Exposure'!$G$9+'P&amp;L Decomposition'!$C$18)</f>
        <v>-2.3402640390617047E-3</v>
      </c>
      <c r="J18" s="64">
        <f>'P&amp;L Decomposition'!J18/('Portfolio Exposure'!$G$9+'P&amp;L Decomposition'!$C$18)</f>
        <v>-5.1872315386825274E-7</v>
      </c>
      <c r="K18" s="64">
        <f>'P&amp;L Decomposition'!K18/('Portfolio Exposure'!$G$9+'P&amp;L Decomposition'!$C$18)</f>
        <v>-1.1467426104681648E-3</v>
      </c>
      <c r="L18" s="55">
        <f>'P&amp;L Decomposition'!L18/('Portfolio Exposure'!$G$9+'P&amp;L Decomposition'!$C$18)</f>
        <v>-1.1472613336220331E-3</v>
      </c>
    </row>
    <row r="19" spans="1:12" x14ac:dyDescent="0.25">
      <c r="C19" s="72">
        <f>K18+J18+I18+H18</f>
        <v>-3.3390259946141604E-3</v>
      </c>
      <c r="D19" s="55"/>
      <c r="E19" s="55"/>
      <c r="F19" s="55"/>
      <c r="G19" s="55"/>
      <c r="H19" s="55"/>
      <c r="I19" s="55"/>
      <c r="J19" s="55"/>
      <c r="K19" s="55"/>
      <c r="L19" s="55"/>
    </row>
    <row r="20" spans="1:12" ht="17.399999999999999" x14ac:dyDescent="0.3">
      <c r="A20" s="11"/>
      <c r="C20" s="55"/>
      <c r="D20" s="55"/>
      <c r="E20" s="55"/>
      <c r="F20" s="55"/>
      <c r="G20" s="55"/>
      <c r="H20" s="55"/>
      <c r="I20" s="55"/>
      <c r="J20" s="55"/>
      <c r="K20" s="55"/>
      <c r="L20" s="55"/>
    </row>
    <row r="21" spans="1:12" ht="17.399999999999999" x14ac:dyDescent="0.3">
      <c r="A21" s="11" t="s">
        <v>10</v>
      </c>
      <c r="C21" s="71">
        <f>C9+C18</f>
        <v>4.4621712057780205E-2</v>
      </c>
      <c r="D21" s="55"/>
      <c r="E21" s="55"/>
      <c r="F21" s="55"/>
      <c r="G21" s="55"/>
      <c r="H21" s="55"/>
      <c r="I21" s="55"/>
      <c r="J21" s="55"/>
      <c r="K21" s="55"/>
      <c r="L21" s="55"/>
    </row>
    <row r="22" spans="1:12" x14ac:dyDescent="0.25">
      <c r="C22" s="71">
        <f>C10+C19</f>
        <v>4.4621712057780233E-2</v>
      </c>
      <c r="D22" s="55"/>
      <c r="E22" s="55"/>
      <c r="F22" s="66"/>
      <c r="G22" s="55"/>
      <c r="H22" s="55"/>
      <c r="I22" s="55"/>
      <c r="J22" s="55"/>
      <c r="K22" s="55"/>
      <c r="L22" s="23"/>
    </row>
    <row r="23" spans="1:12" x14ac:dyDescent="0.25">
      <c r="C23" s="55"/>
      <c r="D23" s="55"/>
      <c r="E23" s="55"/>
      <c r="F23" s="66"/>
      <c r="G23" s="55"/>
      <c r="H23" s="55"/>
      <c r="I23" s="55"/>
      <c r="J23" s="55"/>
      <c r="K23" s="55"/>
      <c r="L23" s="23"/>
    </row>
    <row r="24" spans="1:12" ht="17.399999999999999" x14ac:dyDescent="0.3">
      <c r="A24" s="11"/>
      <c r="B24" s="12" t="s">
        <v>94</v>
      </c>
      <c r="C24" s="56"/>
      <c r="D24" s="55"/>
      <c r="E24" s="55"/>
      <c r="F24" s="66"/>
      <c r="G24" s="55"/>
      <c r="H24" s="55"/>
      <c r="I24" s="55"/>
      <c r="J24" s="55"/>
      <c r="K24" s="55"/>
      <c r="L24" s="23"/>
    </row>
    <row r="25" spans="1:12" x14ac:dyDescent="0.25">
      <c r="C25" s="55"/>
      <c r="D25" s="55"/>
      <c r="E25" s="55"/>
      <c r="F25" s="66"/>
      <c r="G25" s="55"/>
      <c r="H25" s="55"/>
      <c r="I25" s="55"/>
      <c r="J25" s="55"/>
      <c r="K25" s="55"/>
      <c r="L25" s="23"/>
    </row>
    <row r="26" spans="1:12" x14ac:dyDescent="0.25">
      <c r="C26" s="55"/>
      <c r="D26" s="55"/>
      <c r="E26" s="55"/>
      <c r="F26" s="65"/>
      <c r="G26" s="55"/>
      <c r="H26" s="55"/>
      <c r="I26" s="55"/>
      <c r="J26" s="55"/>
      <c r="K26" s="55"/>
      <c r="L26" s="23"/>
    </row>
    <row r="27" spans="1:12" x14ac:dyDescent="0.25">
      <c r="C27" s="55"/>
      <c r="D27" s="55"/>
      <c r="E27" s="55"/>
      <c r="F27" s="24"/>
      <c r="G27" s="55"/>
      <c r="H27" s="55"/>
      <c r="I27" s="55"/>
      <c r="J27" s="55"/>
      <c r="K27" s="55"/>
      <c r="L27" s="55"/>
    </row>
    <row r="28" spans="1:12" x14ac:dyDescent="0.25">
      <c r="C28" s="23"/>
      <c r="D28" s="23"/>
      <c r="E28" s="23"/>
      <c r="F28" s="23"/>
      <c r="G28" s="23"/>
      <c r="H28" s="23"/>
      <c r="I28" s="23"/>
      <c r="J28" s="23"/>
      <c r="K28" s="23"/>
      <c r="L28" s="23"/>
    </row>
  </sheetData>
  <mergeCells count="2">
    <mergeCell ref="F1:G1"/>
    <mergeCell ref="J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Market Data</vt:lpstr>
      <vt:lpstr>Forward Valuation</vt:lpstr>
      <vt:lpstr>Portfolio Exposure</vt:lpstr>
      <vt:lpstr>P&amp;L Decomposition</vt:lpstr>
      <vt:lpstr>Contribution</vt:lpstr>
      <vt:lpstr>'Market Data'!comments</vt:lpstr>
      <vt:lpstr>FwdFX</vt:lpstr>
      <vt:lpstr>FXrates</vt:lpstr>
      <vt:lpstr>HedgeVal</vt:lpstr>
      <vt:lpstr>HedgingFwd</vt:lpstr>
      <vt:lpstr>LocalCash</vt:lpstr>
      <vt:lpstr>ProxyFwd</vt:lpstr>
      <vt:lpstr>SpotFX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Andrea Tauson</cp:lastModifiedBy>
  <dcterms:created xsi:type="dcterms:W3CDTF">2020-06-23T16:33:33Z</dcterms:created>
  <dcterms:modified xsi:type="dcterms:W3CDTF">2020-12-16T19:23:59Z</dcterms:modified>
</cp:coreProperties>
</file>